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Church Buildings\General\Environment\"/>
    </mc:Choice>
  </mc:AlternateContent>
  <xr:revisionPtr revIDLastSave="0" documentId="8_{AA7A440A-8A20-434C-9B1F-1BD303870ABB}" xr6:coauthVersionLast="36" xr6:coauthVersionMax="36" xr10:uidLastSave="{00000000-0000-0000-0000-000000000000}"/>
  <workbookProtection lockStructure="1"/>
  <bookViews>
    <workbookView xWindow="0" yWindow="0" windowWidth="21120" windowHeight="8025" tabRatio="903" activeTab="1" xr2:uid="{00000000-000D-0000-FFFF-FFFF00000000}"/>
  </bookViews>
  <sheets>
    <sheet name="Summary" sheetId="1" r:id="rId1"/>
    <sheet name="Client Input" sheetId="11" r:id="rId2"/>
    <sheet name="Inputs" sheetId="2" state="hidden" r:id="rId3"/>
    <sheet name="Electricity_consumption" sheetId="3" state="hidden" r:id="rId4"/>
    <sheet name="PV_design" sheetId="4" state="hidden" r:id="rId5"/>
    <sheet name="Heating_Design" sheetId="5" state="hidden" r:id="rId6"/>
    <sheet name="Assumptions" sheetId="6" state="hidden" r:id="rId7"/>
    <sheet name="Blank_Sunpath_diagram" sheetId="7" r:id="rId8"/>
    <sheet name="Look_Up_Tables_-_PV" sheetId="8" state="hidden" r:id="rId9"/>
    <sheet name="Look_Up_Tables_-_Heating" sheetId="9" state="hidden" r:id="rId10"/>
    <sheet name="PV_irradiance" sheetId="10" state="hidden" r:id="rId1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I6" i="2"/>
  <c r="I5" i="2"/>
  <c r="I4" i="2"/>
  <c r="D20" i="1" l="1"/>
  <c r="D18" i="1" a="1"/>
  <c r="D18" i="1" s="1"/>
  <c r="E18" i="1" l="1"/>
  <c r="I13" i="2"/>
  <c r="I12" i="2"/>
  <c r="G10" i="3" l="1"/>
  <c r="M10" i="3" s="1"/>
  <c r="G5" i="3"/>
  <c r="M5" i="3" s="1"/>
  <c r="G6" i="3"/>
  <c r="M6" i="3" s="1"/>
  <c r="G7" i="3"/>
  <c r="M7" i="3" s="1"/>
  <c r="G8" i="3"/>
  <c r="M8" i="3" s="1"/>
  <c r="G4" i="3"/>
  <c r="M4" i="3" s="1"/>
  <c r="F10" i="3"/>
  <c r="L10" i="3" s="1"/>
  <c r="F5" i="3"/>
  <c r="L5" i="3" s="1"/>
  <c r="F6" i="3"/>
  <c r="L6" i="3" s="1"/>
  <c r="F7" i="3"/>
  <c r="L7" i="3" s="1"/>
  <c r="F8" i="3"/>
  <c r="L8" i="3" s="1"/>
  <c r="F4" i="3"/>
  <c r="L4" i="3" s="1"/>
  <c r="D10" i="3"/>
  <c r="D5" i="3"/>
  <c r="D6" i="3"/>
  <c r="D7" i="3"/>
  <c r="J7" i="3" s="1"/>
  <c r="D8" i="3"/>
  <c r="J8" i="3" s="1"/>
  <c r="D4" i="3"/>
  <c r="J4" i="3" s="1"/>
  <c r="C8" i="3"/>
  <c r="C10" i="3"/>
  <c r="C7" i="3"/>
  <c r="C6" i="3"/>
  <c r="C5" i="3"/>
  <c r="C4" i="3"/>
  <c r="H21" i="2"/>
  <c r="I21" i="2"/>
  <c r="J21" i="2"/>
  <c r="K21" i="2"/>
  <c r="L21" i="2"/>
  <c r="I20" i="2"/>
  <c r="J20" i="2"/>
  <c r="K20" i="2"/>
  <c r="L20" i="2"/>
  <c r="I19" i="2"/>
  <c r="J19" i="2"/>
  <c r="K19" i="2"/>
  <c r="L19" i="2"/>
  <c r="I18" i="2"/>
  <c r="J18" i="2"/>
  <c r="K18" i="2"/>
  <c r="L18" i="2"/>
  <c r="H19" i="2"/>
  <c r="H20" i="2"/>
  <c r="H18" i="2"/>
  <c r="H23" i="2"/>
  <c r="D21" i="2"/>
  <c r="D20" i="2"/>
  <c r="D19" i="2"/>
  <c r="C19" i="2"/>
  <c r="C21" i="2"/>
  <c r="C20" i="2"/>
  <c r="C10" i="2"/>
  <c r="C9" i="2"/>
  <c r="C8" i="2"/>
  <c r="C3" i="2"/>
  <c r="C2" i="2"/>
  <c r="E7" i="3" l="1"/>
  <c r="I7" i="3"/>
  <c r="E8" i="3"/>
  <c r="I8" i="3"/>
  <c r="E6" i="3"/>
  <c r="H6" i="3" s="1"/>
  <c r="E5" i="3"/>
  <c r="H5" i="3" s="1"/>
  <c r="D22" i="2"/>
  <c r="J10" i="3"/>
  <c r="K10" i="3" s="1"/>
  <c r="E10" i="3"/>
  <c r="K7" i="3" l="1"/>
  <c r="H7" i="3"/>
  <c r="H8" i="3"/>
  <c r="K8" i="3"/>
  <c r="H10" i="3"/>
  <c r="N10" i="3"/>
  <c r="N7" i="3" l="1"/>
  <c r="O7" i="3" s="1"/>
  <c r="N8" i="3"/>
  <c r="O8" i="3" s="1"/>
  <c r="O10" i="3"/>
  <c r="J6" i="9"/>
  <c r="C7" i="4"/>
  <c r="AP2" i="10" s="1"/>
  <c r="C6" i="4"/>
  <c r="AO2" i="10" s="1"/>
  <c r="C5" i="4"/>
  <c r="C4" i="4"/>
  <c r="C3" i="4"/>
  <c r="AN2" i="10" s="1"/>
  <c r="F3" i="6"/>
  <c r="C11" i="6"/>
  <c r="J11" i="6"/>
  <c r="D14" i="6"/>
  <c r="C17" i="6"/>
  <c r="D17" i="6"/>
  <c r="E4" i="3"/>
  <c r="H4" i="3" s="1"/>
  <c r="H9" i="3" s="1"/>
  <c r="I4" i="3"/>
  <c r="I5" i="3"/>
  <c r="J5" i="3"/>
  <c r="I6" i="3"/>
  <c r="J6" i="3"/>
  <c r="E14" i="3"/>
  <c r="E15" i="1" s="1"/>
  <c r="C14" i="5"/>
  <c r="E14" i="1" s="1"/>
  <c r="C15" i="5"/>
  <c r="C18" i="5" s="1"/>
  <c r="C22" i="5"/>
  <c r="C6" i="2"/>
  <c r="I8" i="2"/>
  <c r="I10" i="2" s="1"/>
  <c r="E19" i="2"/>
  <c r="F6" i="1" s="1"/>
  <c r="E21" i="2"/>
  <c r="C22" i="2"/>
  <c r="D23" i="2"/>
  <c r="E4" i="9"/>
  <c r="E9" i="9" s="1"/>
  <c r="J5" i="9"/>
  <c r="E7" i="9"/>
  <c r="G7" i="9"/>
  <c r="D8" i="9"/>
  <c r="J8" i="9"/>
  <c r="D9" i="9"/>
  <c r="G9" i="9"/>
  <c r="J9" i="9"/>
  <c r="C14" i="9"/>
  <c r="E14" i="9" s="1"/>
  <c r="F29" i="8"/>
  <c r="G29" i="8"/>
  <c r="D3" i="4"/>
  <c r="E3" i="4" s="1"/>
  <c r="F3" i="4"/>
  <c r="D4" i="4"/>
  <c r="E4" i="4" s="1"/>
  <c r="F4" i="4"/>
  <c r="D5" i="4"/>
  <c r="E5" i="4" s="1"/>
  <c r="F5" i="4"/>
  <c r="D6" i="4"/>
  <c r="E6" i="4" s="1"/>
  <c r="F6" i="4"/>
  <c r="J6" i="4"/>
  <c r="D7" i="4"/>
  <c r="E7" i="4" s="1"/>
  <c r="F7" i="4"/>
  <c r="J7" i="4"/>
  <c r="D23" i="4"/>
  <c r="AN3" i="10"/>
  <c r="AO3" i="10"/>
  <c r="AP3" i="10"/>
  <c r="AN4" i="10"/>
  <c r="AO4" i="10"/>
  <c r="AP4" i="10"/>
  <c r="E17" i="1"/>
  <c r="E19" i="1"/>
  <c r="K5" i="3" l="1"/>
  <c r="N5" i="3" s="1"/>
  <c r="O5" i="3" s="1"/>
  <c r="I14" i="9"/>
  <c r="C11" i="2" s="1"/>
  <c r="J14" i="9"/>
  <c r="F14" i="9"/>
  <c r="AO6" i="10"/>
  <c r="I6" i="4" s="1"/>
  <c r="D14" i="9"/>
  <c r="AN6" i="10"/>
  <c r="I3" i="4" s="1"/>
  <c r="AP6" i="10"/>
  <c r="I7" i="4" s="1"/>
  <c r="K6" i="3"/>
  <c r="N6" i="3" s="1"/>
  <c r="H11" i="3"/>
  <c r="D54" i="11" s="1"/>
  <c r="G3" i="4"/>
  <c r="H7" i="4"/>
  <c r="G7" i="4"/>
  <c r="H3" i="4"/>
  <c r="C17" i="5"/>
  <c r="C16" i="5"/>
  <c r="C19" i="5" s="1"/>
  <c r="K4" i="3"/>
  <c r="N4" i="3" s="1"/>
  <c r="E9" i="3"/>
  <c r="G14" i="9"/>
  <c r="H14" i="9"/>
  <c r="C7" i="2" s="1"/>
  <c r="C9" i="11" s="1"/>
  <c r="G5" i="4"/>
  <c r="H5" i="4"/>
  <c r="G4" i="4"/>
  <c r="H4" i="4"/>
  <c r="G6" i="4"/>
  <c r="H6" i="4"/>
  <c r="C23" i="2"/>
  <c r="E22" i="2"/>
  <c r="F5" i="1" s="1"/>
  <c r="C31" i="5"/>
  <c r="C16" i="9"/>
  <c r="C20" i="5" l="1"/>
  <c r="C12" i="2"/>
  <c r="E5" i="1" s="1"/>
  <c r="E6" i="1" s="1"/>
  <c r="I4" i="4"/>
  <c r="K3" i="4"/>
  <c r="K6" i="4"/>
  <c r="I5" i="4"/>
  <c r="K7" i="4"/>
  <c r="K4" i="4"/>
  <c r="I28" i="8" s="1"/>
  <c r="O6" i="3"/>
  <c r="N9" i="3"/>
  <c r="K9" i="3"/>
  <c r="G8" i="4"/>
  <c r="I7" i="2"/>
  <c r="O4" i="3"/>
  <c r="H8" i="4"/>
  <c r="E23" i="2"/>
  <c r="D24" i="4"/>
  <c r="K5" i="4"/>
  <c r="H16" i="9"/>
  <c r="F16" i="9"/>
  <c r="C32" i="5" s="1"/>
  <c r="J16" i="9"/>
  <c r="I16" i="9"/>
  <c r="G16" i="9"/>
  <c r="D16" i="9"/>
  <c r="E16" i="9"/>
  <c r="G6" i="1" l="1"/>
  <c r="H12" i="3"/>
  <c r="C41" i="5"/>
  <c r="C40" i="5"/>
  <c r="O9" i="3"/>
  <c r="F15" i="1" s="1"/>
  <c r="G15" i="1" s="1"/>
  <c r="J15" i="1" s="1"/>
  <c r="K8" i="4"/>
  <c r="F16" i="1" s="1"/>
  <c r="I16" i="1" s="1"/>
  <c r="E16" i="1"/>
  <c r="C23" i="5"/>
  <c r="C4" i="2"/>
  <c r="C5" i="11" s="1"/>
  <c r="F7" i="1"/>
  <c r="D25" i="4"/>
  <c r="H13" i="3" l="1"/>
  <c r="B29" i="1" s="1"/>
  <c r="D55" i="11"/>
  <c r="I15" i="1"/>
  <c r="G5" i="1"/>
  <c r="E15" i="3"/>
  <c r="E16" i="3"/>
  <c r="C24" i="8" s="1"/>
  <c r="C2" i="5"/>
  <c r="C3" i="5" s="1"/>
  <c r="C8" i="5" s="1"/>
  <c r="G14" i="1" s="1"/>
  <c r="J14" i="1" s="1"/>
  <c r="E7" i="1"/>
  <c r="I14" i="1" s="1"/>
  <c r="C27" i="5" a="1"/>
  <c r="C27" i="5" s="1"/>
  <c r="C33" i="5" s="1"/>
  <c r="E20" i="1" s="1"/>
  <c r="G7" i="1" l="1"/>
  <c r="C25" i="8"/>
  <c r="C12" i="8"/>
  <c r="D11" i="4" s="1"/>
  <c r="D13" i="4" s="1"/>
  <c r="F14" i="1"/>
  <c r="C5" i="5"/>
  <c r="C13" i="8"/>
  <c r="D18" i="4" s="1"/>
  <c r="C6" i="5"/>
  <c r="C9" i="5"/>
  <c r="E21" i="1"/>
  <c r="C11" i="5" l="1"/>
  <c r="D19" i="4"/>
  <c r="D20" i="4" s="1"/>
  <c r="D22" i="4" s="1"/>
  <c r="D12" i="4"/>
  <c r="G16" i="1" s="1"/>
  <c r="C10" i="5"/>
  <c r="C24" i="5" s="1" a="1"/>
  <c r="C24" i="5" s="1"/>
  <c r="C12" i="5"/>
  <c r="D28" i="4"/>
  <c r="H16" i="1" s="1"/>
  <c r="G17" i="1" l="1"/>
  <c r="J17" i="1" s="1"/>
  <c r="D21" i="4"/>
  <c r="D26" i="4"/>
  <c r="F17" i="1" s="1"/>
  <c r="C25" i="5"/>
  <c r="F18" i="1" s="1"/>
  <c r="C34" i="5"/>
  <c r="J16" i="1"/>
  <c r="C28" i="5" l="1"/>
  <c r="C29" i="5"/>
  <c r="I18" i="1" s="1"/>
  <c r="F20" i="1"/>
  <c r="C37" i="5"/>
  <c r="H20" i="1" s="1"/>
  <c r="H21" i="1" s="1"/>
  <c r="C35" i="5"/>
  <c r="I20" i="1" s="1"/>
  <c r="C36" i="5"/>
  <c r="I21" i="1" l="1"/>
  <c r="C30" i="1" s="1"/>
  <c r="G18" i="1"/>
  <c r="J18" i="1" s="1"/>
  <c r="G20" i="1"/>
  <c r="F21" i="1"/>
  <c r="I22" i="1" l="1"/>
  <c r="G21" i="1"/>
  <c r="C32" i="1" s="1"/>
  <c r="C33" i="1" s="1"/>
  <c r="J20" i="1"/>
  <c r="C31" i="1"/>
  <c r="J21" i="1" l="1"/>
  <c r="H22" i="1"/>
  <c r="H24" i="1" s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4" authorId="0" shapeId="0" xr:uid="{DEA10C33-359B-4ED6-9E44-83F1682FAB94}">
      <text>
        <r>
          <rPr>
            <b/>
            <sz val="9"/>
            <color indexed="8"/>
            <rFont val="Tahoma"/>
            <family val="2"/>
          </rPr>
          <t xml:space="preserve">NEP:
</t>
        </r>
        <r>
          <rPr>
            <sz val="9"/>
            <color indexed="8"/>
            <rFont val="Tahoma"/>
            <family val="2"/>
          </rPr>
          <t>Divide building into 'compartments' which can be heated individually</t>
        </r>
      </text>
    </comment>
    <comment ref="E14" authorId="0" shapeId="0" xr:uid="{C4BF28AA-98F3-4FD4-B0AB-F8F3EAAA3466}">
      <text>
        <r>
          <rPr>
            <b/>
            <sz val="9"/>
            <color indexed="8"/>
            <rFont val="Tahoma"/>
            <family val="2"/>
          </rPr>
          <t xml:space="preserve">paul chandler:
</t>
        </r>
        <r>
          <rPr>
            <sz val="9"/>
            <color indexed="8"/>
            <rFont val="Tahoma"/>
            <family val="2"/>
          </rPr>
          <t>Compartment to divide church in half has area X cost/m2</t>
        </r>
      </text>
    </comment>
    <comment ref="F14" authorId="0" shapeId="0" xr:uid="{78DD9B5A-E772-4212-AFB9-0D4600ED1D76}">
      <text>
        <r>
          <rPr>
            <b/>
            <sz val="9"/>
            <color indexed="8"/>
            <rFont val="Tahoma"/>
            <family val="2"/>
          </rPr>
          <t xml:space="preserve">paul chandler:
</t>
        </r>
        <r>
          <rPr>
            <sz val="9"/>
            <color indexed="8"/>
            <rFont val="Tahoma"/>
            <family val="2"/>
          </rPr>
          <t>half the energy as half the volume</t>
        </r>
      </text>
    </comment>
    <comment ref="G14" authorId="0" shapeId="0" xr:uid="{80817206-9F27-40BC-B07A-3D5C072B2E42}">
      <text>
        <r>
          <rPr>
            <b/>
            <sz val="9"/>
            <color indexed="8"/>
            <rFont val="Tahoma"/>
            <family val="2"/>
          </rPr>
          <t xml:space="preserve">paul chandler:
</t>
        </r>
        <r>
          <rPr>
            <sz val="9"/>
            <color indexed="8"/>
            <rFont val="Tahoma"/>
            <family val="2"/>
          </rPr>
          <t>Half the bill as half the volume</t>
        </r>
      </text>
    </comment>
    <comment ref="J14" authorId="0" shapeId="0" xr:uid="{00000000-0006-0000-0000-000005000000}">
      <text>
        <r>
          <rPr>
            <sz val="10"/>
            <color indexed="8"/>
            <rFont val="Arial"/>
            <family val="2"/>
          </rPr>
          <t>Cost / (bill saving PLUS income)</t>
        </r>
      </text>
    </comment>
    <comment ref="E15" authorId="0" shapeId="0" xr:uid="{AEBF5CD5-2B6A-46AF-B52C-641A4588BF57}">
      <text>
        <r>
          <rPr>
            <sz val="10"/>
            <color indexed="8"/>
            <rFont val="Arial"/>
            <family val="2"/>
          </rPr>
          <t>If upgrading lighting, cost = cost / light x number of lights</t>
        </r>
      </text>
    </comment>
    <comment ref="F15" authorId="0" shapeId="0" xr:uid="{DC134137-8231-4716-A1E9-A4C7EDF55970}">
      <text>
        <r>
          <rPr>
            <sz val="10"/>
            <color indexed="8"/>
            <rFont val="Arial"/>
            <family val="2"/>
          </rPr>
          <t>If upgrading  lighting, get
saving from table</t>
        </r>
      </text>
    </comment>
    <comment ref="G15" authorId="0" shapeId="0" xr:uid="{809B1049-E60A-4DA2-B952-5E06238FA89F}">
      <text>
        <r>
          <rPr>
            <sz val="10"/>
            <color indexed="8"/>
            <rFont val="Arial"/>
            <family val="2"/>
          </rPr>
          <t>Bill saving = s
aving x unit rate</t>
        </r>
      </text>
    </comment>
    <comment ref="I15" authorId="0" shapeId="0" xr:uid="{6DD0D5B6-310C-41F1-8EB3-A39DE99BBE39}">
      <text>
        <r>
          <rPr>
            <sz val="10"/>
            <color indexed="8"/>
            <rFont val="Arial"/>
            <family val="2"/>
          </rPr>
          <t>Saving x co2 factor for electricity</t>
        </r>
      </text>
    </comment>
    <comment ref="J15" authorId="0" shapeId="0" xr:uid="{00000000-0006-0000-0000-00000A000000}">
      <text>
        <r>
          <rPr>
            <sz val="10"/>
            <color indexed="8"/>
            <rFont val="Arial"/>
            <family val="2"/>
          </rPr>
          <t>Cost / (bill saving PLUS income)</t>
        </r>
      </text>
    </comment>
    <comment ref="E16" authorId="0" shapeId="0" xr:uid="{E3C4F7B4-CF3F-429C-8111-17A7734060F7}">
      <text>
        <r>
          <rPr>
            <sz val="10"/>
            <color indexed="8"/>
            <rFont val="Arial"/>
            <family val="2"/>
          </rPr>
          <t>If having PV, cost = size (kW) x cost / kW</t>
        </r>
      </text>
    </comment>
    <comment ref="F16" authorId="0" shapeId="0" xr:uid="{2D9E21D2-D592-43E1-91AF-DEFBE7D48698}">
      <text>
        <r>
          <rPr>
            <sz val="10"/>
            <color indexed="8"/>
            <rFont val="Arial"/>
            <family val="2"/>
          </rPr>
          <t xml:space="preserve">If having PV, 'saving' – generation
</t>
        </r>
      </text>
    </comment>
    <comment ref="G16" authorId="0" shapeId="0" xr:uid="{4CBAA1DF-AFC6-4752-A738-48CADFF6B45E}">
      <text>
        <r>
          <rPr>
            <sz val="10"/>
            <color indexed="8"/>
            <rFont val="Arial"/>
            <family val="2"/>
          </rPr>
          <t>If having PV, get bill saving from lookup</t>
        </r>
      </text>
    </comment>
    <comment ref="H16" authorId="0" shapeId="0" xr:uid="{C9DFE695-EEE6-4457-B590-D1CB8836E176}">
      <text>
        <r>
          <rPr>
            <sz val="10"/>
            <color indexed="8"/>
            <rFont val="Arial"/>
            <family val="2"/>
          </rPr>
          <t>If having PV, income = export x export tariff</t>
        </r>
      </text>
    </comment>
    <comment ref="I16" authorId="0" shapeId="0" xr:uid="{401B3563-405B-4543-B81B-C6BCC0D67A59}">
      <text>
        <r>
          <rPr>
            <sz val="10"/>
            <color indexed="8"/>
            <rFont val="Arial"/>
            <family val="2"/>
          </rPr>
          <t>Saving x carbon factor for electricity</t>
        </r>
      </text>
    </comment>
    <comment ref="E17" authorId="0" shapeId="0" xr:uid="{0C5CC896-9CF0-43BD-82E7-362F8B7A6AB6}">
      <text>
        <r>
          <rPr>
            <sz val="10"/>
            <color indexed="8"/>
            <rFont val="Arial"/>
            <family val="2"/>
          </rPr>
          <t>If having  battery, get cost from assumptions</t>
        </r>
      </text>
    </comment>
    <comment ref="F17" authorId="0" shapeId="0" xr:uid="{CD802C92-EA8E-4AE3-A242-F4E6E7283FC5}">
      <text>
        <r>
          <rPr>
            <sz val="10"/>
            <color indexed="8"/>
            <rFont val="Arial"/>
            <family val="2"/>
          </rPr>
          <t>If having PV AND battery get saving from calculation</t>
        </r>
      </text>
    </comment>
    <comment ref="G17" authorId="0" shapeId="0" xr:uid="{09B94DB8-1CFE-4E2B-954A-C83ADCA9CC3D}">
      <text>
        <r>
          <rPr>
            <sz val="10"/>
            <color indexed="8"/>
            <rFont val="Arial"/>
            <family val="2"/>
          </rPr>
          <t>If having PV and battery get saving from calculation (increase in self consumption) PLUS saving from battery without PV (load shifring)</t>
        </r>
      </text>
    </comment>
    <comment ref="E18" authorId="0" shapeId="0" xr:uid="{1FAF761B-20B6-44E9-BF62-DC76186D4B72}">
      <text>
        <r>
          <rPr>
            <sz val="10"/>
            <color indexed="8"/>
            <rFont val="Arial"/>
            <family val="2"/>
          </rPr>
          <t>If having insulation get cost from calculation</t>
        </r>
      </text>
    </comment>
    <comment ref="F18" authorId="0" shapeId="0" xr:uid="{F53A35D9-3665-437C-AEC7-8FF4284E2D2F}">
      <text>
        <r>
          <rPr>
            <sz val="10"/>
            <color indexed="8"/>
            <rFont val="Arial"/>
            <family val="2"/>
          </rPr>
          <t>difference between before and after</t>
        </r>
      </text>
    </comment>
    <comment ref="G18" authorId="0" shapeId="0" xr:uid="{B2234B91-8EE7-414F-A870-91ABAAB1D59A}">
      <text>
        <r>
          <rPr>
            <sz val="10"/>
            <color indexed="8"/>
            <rFont val="Arial"/>
            <family val="2"/>
          </rPr>
          <t>If having insulation saving is difference between before and after</t>
        </r>
      </text>
    </comment>
    <comment ref="I18" authorId="0" shapeId="0" xr:uid="{4EB0F00E-51F4-4CA7-ADCB-AE3DA4244038}">
      <text>
        <r>
          <rPr>
            <sz val="10"/>
            <color indexed="8"/>
            <rFont val="Arial"/>
            <family val="2"/>
          </rPr>
          <t>Difference between before and after</t>
        </r>
      </text>
    </comment>
    <comment ref="E19" authorId="0" shapeId="0" xr:uid="{54358D1D-6175-47B1-A684-23B73B6EACF9}">
      <text>
        <r>
          <rPr>
            <sz val="10"/>
            <color indexed="8"/>
            <rFont val="Arial"/>
            <family val="2"/>
          </rPr>
          <t>Cost from assumptions if having new heating</t>
        </r>
      </text>
    </comment>
    <comment ref="E20" authorId="0" shapeId="0" xr:uid="{83AFFD61-4032-47EB-B85A-5B87D57B6AC8}">
      <text>
        <r>
          <rPr>
            <sz val="10"/>
            <color indexed="8"/>
            <rFont val="Arial"/>
            <family val="2"/>
          </rPr>
          <t>Cost of new boiler from lookup table</t>
        </r>
      </text>
    </comment>
    <comment ref="F20" authorId="0" shapeId="0" xr:uid="{2A150AAC-630A-449F-9204-90C85395819A}">
      <text>
        <r>
          <rPr>
            <sz val="10"/>
            <color indexed="8"/>
            <rFont val="Arial"/>
            <family val="2"/>
          </rPr>
          <t>Saving due to  changing boiler (unless no boiler in which case no saving)</t>
        </r>
      </text>
    </comment>
    <comment ref="G20" authorId="0" shapeId="0" xr:uid="{F1DF970D-8CE9-4916-B29C-B9ACD883A66F}">
      <text>
        <r>
          <rPr>
            <sz val="10"/>
            <color indexed="8"/>
            <rFont val="Arial"/>
            <family val="2"/>
          </rPr>
          <t>Saving due to new boiler</t>
        </r>
      </text>
    </comment>
    <comment ref="H20" authorId="0" shapeId="0" xr:uid="{7DD5C287-3940-4B9B-A8D1-256151144B81}">
      <text>
        <r>
          <rPr>
            <sz val="10"/>
            <color indexed="8"/>
            <rFont val="Arial"/>
            <family val="2"/>
          </rPr>
          <t>RHI income = output x RHI rate</t>
        </r>
      </text>
    </comment>
    <comment ref="I20" authorId="0" shapeId="0" xr:uid="{F81808F1-F355-43DE-8E29-718EF4F0D9B6}">
      <text>
        <r>
          <rPr>
            <sz val="10"/>
            <color indexed="8"/>
            <rFont val="Arial"/>
            <family val="2"/>
          </rPr>
          <t>Reduction in CO2 due to new boiler (unless no boiler)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B</author>
  </authors>
  <commentList>
    <comment ref="C4" authorId="0" shapeId="0" xr:uid="{4C25E306-9B69-40C4-88F8-2340CBC2DACA}">
      <text>
        <r>
          <rPr>
            <b/>
            <sz val="9"/>
            <color indexed="81"/>
            <rFont val="Tahoma"/>
            <family val="2"/>
          </rPr>
          <t>Laura B:</t>
        </r>
        <r>
          <rPr>
            <sz val="9"/>
            <color indexed="81"/>
            <rFont val="Tahoma"/>
            <family val="2"/>
          </rPr>
          <t xml:space="preserve">
If text is red, current boiler / heat source is considered undersized</t>
        </r>
      </text>
    </comment>
    <comment ref="C29" authorId="0" shapeId="0" xr:uid="{656BAAED-88CD-4366-8C6F-08A5E57A4D0E}">
      <text>
        <r>
          <rPr>
            <b/>
            <sz val="9"/>
            <color indexed="81"/>
            <rFont val="Tahoma"/>
            <family val="2"/>
          </rPr>
          <t>Laura B:</t>
        </r>
        <r>
          <rPr>
            <sz val="9"/>
            <color indexed="81"/>
            <rFont val="Tahoma"/>
            <family val="2"/>
          </rPr>
          <t xml:space="preserve">
If unknown, assume 3.0</t>
        </r>
      </text>
    </comment>
    <comment ref="C32" authorId="0" shapeId="0" xr:uid="{B085B426-F155-4218-BE00-8B1954484853}">
      <text>
        <r>
          <rPr>
            <b/>
            <sz val="9"/>
            <color indexed="81"/>
            <rFont val="Tahoma"/>
            <family val="2"/>
          </rPr>
          <t>Laura B:</t>
        </r>
        <r>
          <rPr>
            <sz val="9"/>
            <color indexed="81"/>
            <rFont val="Tahoma"/>
            <family val="2"/>
          </rPr>
          <t xml:space="preserve">
If unknown, assume 2.1</t>
        </r>
      </text>
    </comment>
    <comment ref="C33" authorId="0" shapeId="0" xr:uid="{CFD4BE98-D92D-41B5-803E-7C952029498E}">
      <text>
        <r>
          <rPr>
            <b/>
            <sz val="9"/>
            <color indexed="81"/>
            <rFont val="Tahoma"/>
            <family val="2"/>
          </rPr>
          <t>Laura B:</t>
        </r>
        <r>
          <rPr>
            <sz val="9"/>
            <color indexed="81"/>
            <rFont val="Tahoma"/>
            <family val="2"/>
          </rPr>
          <t xml:space="preserve">
If unknown, assume 1.1</t>
        </r>
      </text>
    </comment>
    <comment ref="D54" authorId="0" shapeId="0" xr:uid="{99CD5957-4DE9-4738-BA85-AF62264ACFC4}">
      <text>
        <r>
          <rPr>
            <b/>
            <sz val="9"/>
            <color indexed="81"/>
            <rFont val="Tahoma"/>
            <family val="2"/>
          </rPr>
          <t>Laura B:</t>
        </r>
        <r>
          <rPr>
            <sz val="9"/>
            <color indexed="81"/>
            <rFont val="Tahoma"/>
            <family val="2"/>
          </rPr>
          <t xml:space="preserve">
If this figure is red, the difference between calculated electricity consumption and electricity consumption from bills is greater than 10%, and therefore needs to be error checked.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0"/>
            <color indexed="8"/>
            <rFont val="Arial"/>
            <family val="2"/>
          </rPr>
          <t>Select from list</t>
        </r>
      </text>
    </comment>
    <comment ref="C3" authorId="0" shapeId="0" xr:uid="{00000000-0006-0000-0100-000002000000}">
      <text>
        <r>
          <rPr>
            <sz val="10"/>
            <color indexed="8"/>
            <rFont val="Arial"/>
            <family val="2"/>
          </rPr>
          <t>Taken from boiler</t>
        </r>
      </text>
    </comment>
    <comment ref="C4" authorId="0" shapeId="0" xr:uid="{00000000-0006-0000-0100-000003000000}">
      <text>
        <r>
          <rPr>
            <sz val="10"/>
            <color indexed="8"/>
            <rFont val="Arial"/>
            <family val="2"/>
          </rPr>
          <t>Heating design size loss=U value x areaxdesign temp</t>
        </r>
      </text>
    </comment>
    <comment ref="I4" authorId="0" shapeId="0" xr:uid="{00000000-0006-0000-0100-000004000000}">
      <text>
        <r>
          <rPr>
            <sz val="10"/>
            <color indexed="8"/>
            <rFont val="Arial"/>
            <family val="2"/>
          </rPr>
          <t>Approximate average dimensions of building</t>
        </r>
      </text>
    </comment>
    <comment ref="I5" authorId="0" shapeId="0" xr:uid="{00000000-0006-0000-0100-000005000000}">
      <text>
        <r>
          <rPr>
            <sz val="10"/>
            <color indexed="8"/>
            <rFont val="Arial"/>
            <family val="2"/>
          </rPr>
          <t>Approximate average dimensions of building</t>
        </r>
      </text>
    </comment>
    <comment ref="I6" authorId="0" shapeId="0" xr:uid="{00000000-0006-0000-0100-000006000000}">
      <text>
        <r>
          <rPr>
            <sz val="10"/>
            <color indexed="8"/>
            <rFont val="Arial"/>
            <family val="2"/>
          </rPr>
          <t>Approximate average dimensions of building</t>
        </r>
      </text>
    </comment>
    <comment ref="C7" authorId="0" shapeId="0" xr:uid="{00000000-0006-0000-0100-000007000000}">
      <text>
        <r>
          <rPr>
            <sz val="10"/>
            <color indexed="8"/>
            <rFont val="Arial"/>
            <family val="2"/>
          </rPr>
          <t>From lookup table</t>
        </r>
      </text>
    </comment>
    <comment ref="I7" authorId="0" shapeId="0" xr:uid="{00000000-0006-0000-0100-000008000000}">
      <text>
        <r>
          <rPr>
            <sz val="10"/>
            <color indexed="8"/>
            <rFont val="Arial"/>
            <family val="2"/>
          </rPr>
          <t>Uvalue x area x temp diff</t>
        </r>
      </text>
    </comment>
    <comment ref="I8" authorId="0" shapeId="0" xr:uid="{00000000-0006-0000-0100-000009000000}">
      <text>
        <r>
          <rPr>
            <b/>
            <sz val="9"/>
            <color indexed="8"/>
            <rFont val="Tahoma"/>
            <family val="2"/>
          </rPr>
          <t xml:space="preserve">paul chandler:
</t>
        </r>
        <r>
          <rPr>
            <sz val="9"/>
            <color indexed="8"/>
            <rFont val="Tahoma"/>
            <family val="2"/>
          </rPr>
          <t>If compartments; halve volume of space</t>
        </r>
      </text>
    </comment>
    <comment ref="C11" authorId="0" shapeId="0" xr:uid="{00000000-0006-0000-0100-00000A000000}">
      <text>
        <r>
          <rPr>
            <sz val="10"/>
            <color indexed="8"/>
            <rFont val="Arial"/>
            <family val="2"/>
          </rPr>
          <t>Cost per unit divided by kWh/unit</t>
        </r>
      </text>
    </comment>
    <comment ref="C12" authorId="0" shapeId="0" xr:uid="{00000000-0006-0000-0100-00000B000000}">
      <text>
        <r>
          <rPr>
            <sz val="10"/>
            <color indexed="8"/>
            <rFont val="Arial"/>
            <family val="2"/>
          </rPr>
          <t>Annual bill less annual standing charges divided by unit price gives energy use</t>
        </r>
      </text>
    </comment>
    <comment ref="H17" authorId="0" shapeId="0" xr:uid="{00000000-0006-0000-0100-00000C000000}">
      <text>
        <r>
          <rPr>
            <sz val="10"/>
            <color indexed="8"/>
            <rFont val="Arial"/>
            <family val="2"/>
          </rPr>
          <t>Roof dimensions of one roof pitch</t>
        </r>
      </text>
    </comment>
    <comment ref="I17" authorId="0" shapeId="0" xr:uid="{00000000-0006-0000-0100-00000D000000}">
      <text>
        <r>
          <rPr>
            <sz val="10"/>
            <color indexed="8"/>
            <rFont val="Arial"/>
            <family val="2"/>
          </rPr>
          <t>Roof dimension of one pitch</t>
        </r>
      </text>
    </comment>
    <comment ref="J17" authorId="0" shapeId="0" xr:uid="{00000000-0006-0000-0100-00000E000000}">
      <text>
        <r>
          <rPr>
            <sz val="10"/>
            <color indexed="8"/>
            <rFont val="Arial"/>
            <family val="2"/>
          </rPr>
          <t>Roof orientation: degrees from south</t>
        </r>
      </text>
    </comment>
    <comment ref="K17" authorId="0" shapeId="0" xr:uid="{00000000-0006-0000-0100-00000F000000}">
      <text>
        <r>
          <rPr>
            <sz val="10"/>
            <color indexed="8"/>
            <rFont val="Arial"/>
            <family val="2"/>
          </rPr>
          <t>Roof pitch in degrees from horizontal</t>
        </r>
      </text>
    </comment>
    <comment ref="L17" authorId="0" shapeId="0" xr:uid="{00000000-0006-0000-0100-000010000000}">
      <text>
        <r>
          <rPr>
            <sz val="10"/>
            <color indexed="8"/>
            <rFont val="Arial"/>
            <family val="2"/>
          </rPr>
          <t>Estimate or calculate from Shaded sectors from sun path diagram</t>
        </r>
      </text>
    </comment>
    <comment ref="D19" authorId="0" shapeId="0" xr:uid="{00000000-0006-0000-0100-000011000000}">
      <text>
        <r>
          <rPr>
            <sz val="10"/>
            <color indexed="8"/>
            <rFont val="Arial"/>
            <family val="2"/>
          </rPr>
          <t>Only for economy 7</t>
        </r>
      </text>
    </comment>
    <comment ref="C22" authorId="0" shapeId="0" xr:uid="{00000000-0006-0000-0100-000012000000}">
      <text>
        <r>
          <rPr>
            <sz val="10"/>
            <color indexed="8"/>
            <rFont val="Arial"/>
            <family val="2"/>
          </rPr>
          <t>Annual bill less annual standing charges divided by unit price gives energy use</t>
        </r>
      </text>
    </comment>
    <comment ref="D22" authorId="0" shapeId="0" xr:uid="{00000000-0006-0000-0100-000013000000}">
      <text>
        <r>
          <rPr>
            <sz val="10"/>
            <color indexed="8"/>
            <rFont val="Arial"/>
            <family val="2"/>
          </rPr>
          <t>Annual bill less annual standing charges divided by unit price gives energy use</t>
        </r>
      </text>
    </comment>
    <comment ref="H23" authorId="0" shapeId="0" xr:uid="{00000000-0006-0000-0100-000014000000}">
      <text>
        <r>
          <rPr>
            <sz val="10"/>
            <color indexed="8"/>
            <rFont val="Arial"/>
            <family val="2"/>
          </rPr>
          <t>Roof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200-000001000000}">
      <text>
        <r>
          <rPr>
            <sz val="10"/>
            <color indexed="8"/>
            <rFont val="Arial"/>
            <family val="2"/>
          </rPr>
          <t>Power consumption of ONE appliance / light</t>
        </r>
      </text>
    </comment>
    <comment ref="D3" authorId="0" shapeId="0" xr:uid="{00000000-0006-0000-0200-000002000000}">
      <text>
        <r>
          <rPr>
            <sz val="10"/>
            <color indexed="8"/>
            <rFont val="Arial"/>
            <family val="2"/>
          </rPr>
          <t>Number of appliances or lights</t>
        </r>
      </text>
    </comment>
    <comment ref="F3" authorId="0" shapeId="0" xr:uid="{00000000-0006-0000-0200-000003000000}">
      <text>
        <r>
          <rPr>
            <sz val="10"/>
            <color indexed="8"/>
            <rFont val="Arial"/>
            <family val="2"/>
          </rPr>
          <t>Hours of operation</t>
        </r>
      </text>
    </comment>
    <comment ref="G3" authorId="0" shapeId="0" xr:uid="{00000000-0006-0000-0200-000004000000}">
      <text>
        <r>
          <rPr>
            <sz val="10"/>
            <color indexed="8"/>
            <rFont val="Arial"/>
            <family val="2"/>
          </rPr>
          <t>Hours of operation</t>
        </r>
      </text>
    </comment>
    <comment ref="H3" authorId="0" shapeId="0" xr:uid="{00000000-0006-0000-0200-000005000000}">
      <text>
        <r>
          <rPr>
            <sz val="10"/>
            <color indexed="8"/>
            <rFont val="Arial"/>
            <family val="2"/>
          </rPr>
          <t>Annual energy use calculated using average of winter and summer</t>
        </r>
      </text>
    </comment>
    <comment ref="E16" authorId="0" shapeId="0" xr:uid="{00000000-0006-0000-0200-000007000000}">
      <text>
        <r>
          <rPr>
            <sz val="10"/>
            <color indexed="8"/>
            <rFont val="Arial"/>
            <family val="2"/>
          </rPr>
          <t>Existing consumption less saving from lighting upgrade IF happening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300-000001000000}">
      <text>
        <r>
          <rPr>
            <sz val="10"/>
            <color indexed="8"/>
            <rFont val="Arial"/>
            <family val="2"/>
          </rPr>
          <t>Convert horizontal distance to distance in roof plane</t>
        </r>
      </text>
    </comment>
    <comment ref="E2" authorId="0" shapeId="0" xr:uid="{00000000-0006-0000-0300-000002000000}">
      <text>
        <r>
          <rPr>
            <sz val="10"/>
            <color indexed="8"/>
            <rFont val="Arial"/>
            <family val="2"/>
          </rPr>
          <t>Roof width in mm less twice roof margin / panel width  (landscape)</t>
        </r>
      </text>
    </comment>
    <comment ref="F2" authorId="0" shapeId="0" xr:uid="{00000000-0006-0000-0300-000003000000}">
      <text>
        <r>
          <rPr>
            <sz val="10"/>
            <color indexed="8"/>
            <rFont val="Arial"/>
            <family val="2"/>
          </rPr>
          <t>Roof width less twice roof margin divided by panel width (rounded down)</t>
        </r>
      </text>
    </comment>
    <comment ref="H2" authorId="0" shapeId="0" xr:uid="{00000000-0006-0000-0300-000004000000}">
      <text>
        <r>
          <rPr>
            <sz val="10"/>
            <color indexed="8"/>
            <rFont val="Arial"/>
            <family val="2"/>
          </rPr>
          <t>Panels x rating (W) / 1000</t>
        </r>
      </text>
    </comment>
    <comment ref="I2" authorId="0" shapeId="0" xr:uid="{00000000-0006-0000-0300-000005000000}">
      <text>
        <r>
          <rPr>
            <sz val="10"/>
            <color indexed="8"/>
            <rFont val="Arial"/>
            <family val="2"/>
          </rPr>
          <t>Lookup calculated from pitch and orientation</t>
        </r>
      </text>
    </comment>
    <comment ref="J2" authorId="0" shapeId="0" xr:uid="{00000000-0006-0000-0300-000006000000}">
      <text>
        <r>
          <rPr>
            <sz val="10"/>
            <color indexed="8"/>
            <rFont val="Arial"/>
            <family val="2"/>
          </rPr>
          <t>Calculated from shade factor (1-segments/100)</t>
        </r>
      </text>
    </comment>
    <comment ref="K2" authorId="0" shapeId="0" xr:uid="{00000000-0006-0000-0300-000007000000}">
      <text>
        <r>
          <rPr>
            <sz val="10"/>
            <color indexed="8"/>
            <rFont val="Arial"/>
            <family val="2"/>
          </rPr>
          <t>Generation = kW x kWh/kW</t>
        </r>
      </text>
    </comment>
    <comment ref="B11" authorId="0" shapeId="0" xr:uid="{00000000-0006-0000-0300-000008000000}">
      <text>
        <r>
          <rPr>
            <sz val="10"/>
            <color indexed="8"/>
            <rFont val="Arial"/>
            <family val="2"/>
          </rPr>
          <t>Estimate for proportion of generation that would be used in the church</t>
        </r>
      </text>
    </comment>
    <comment ref="D11" authorId="0" shapeId="0" xr:uid="{00000000-0006-0000-0300-000009000000}">
      <text>
        <r>
          <rPr>
            <sz val="10"/>
            <color indexed="8"/>
            <rFont val="Arial"/>
            <family val="2"/>
          </rPr>
          <t>If generation less than 10MWh look up from Table A using consumption else use Table B</t>
        </r>
      </text>
    </comment>
    <comment ref="D12" authorId="0" shapeId="0" xr:uid="{00000000-0006-0000-0300-00000A000000}">
      <text>
        <r>
          <rPr>
            <sz val="10"/>
            <color indexed="8"/>
            <rFont val="Arial"/>
            <family val="2"/>
          </rPr>
          <t>on-site usage = generation x proportion on-site use</t>
        </r>
      </text>
    </comment>
    <comment ref="D13" authorId="0" shapeId="0" xr:uid="{00000000-0006-0000-0300-00000B000000}">
      <text>
        <r>
          <rPr>
            <sz val="10"/>
            <color indexed="8"/>
            <rFont val="Arial"/>
            <family val="2"/>
          </rPr>
          <t>Export = generation less on-site use</t>
        </r>
      </text>
    </comment>
    <comment ref="D19" authorId="0" shapeId="0" xr:uid="{00000000-0006-0000-0300-00000C000000}">
      <text>
        <r>
          <rPr>
            <sz val="10"/>
            <color indexed="8"/>
            <rFont val="Arial"/>
            <family val="2"/>
          </rPr>
          <t>Difference in self consumption with and without battery</t>
        </r>
      </text>
    </comment>
    <comment ref="D20" authorId="0" shapeId="0" xr:uid="{00000000-0006-0000-0300-00000D000000}">
      <text>
        <r>
          <rPr>
            <sz val="10"/>
            <color indexed="8"/>
            <rFont val="Arial"/>
            <family val="2"/>
          </rPr>
          <t>Increase in kWh</t>
        </r>
      </text>
    </comment>
    <comment ref="D22" authorId="0" shapeId="0" xr:uid="{00000000-0006-0000-0300-00000E000000}">
      <text>
        <r>
          <rPr>
            <sz val="10"/>
            <color indexed="8"/>
            <rFont val="Arial"/>
            <family val="2"/>
          </rPr>
          <t>Energy x cost rate</t>
        </r>
      </text>
    </comment>
    <comment ref="D23" authorId="0" shapeId="0" xr:uid="{00000000-0006-0000-0300-00000F000000}">
      <text>
        <r>
          <rPr>
            <sz val="10"/>
            <color indexed="8"/>
            <rFont val="Arial"/>
            <family val="2"/>
          </rPr>
          <t>Assume no solar surplus for battery in winter so can be used for load shifting</t>
        </r>
      </text>
    </comment>
    <comment ref="D25" authorId="0" shapeId="0" xr:uid="{00000000-0006-0000-0300-000010000000}">
      <text>
        <r>
          <rPr>
            <sz val="10"/>
            <color indexed="8"/>
            <rFont val="Arial"/>
            <family val="2"/>
          </rPr>
          <t>Energy load shifted x efficiency of battery x difference between day and night tariffs</t>
        </r>
      </text>
    </comment>
    <comment ref="D26" authorId="0" shapeId="0" xr:uid="{00000000-0006-0000-0300-000011000000}">
      <text>
        <r>
          <rPr>
            <sz val="10"/>
            <color indexed="8"/>
            <rFont val="Arial"/>
            <family val="2"/>
          </rPr>
          <t>Increase in self consumption plus load shifting</t>
        </r>
      </text>
    </comment>
    <comment ref="B28" authorId="0" shapeId="0" xr:uid="{00000000-0006-0000-0300-000012000000}">
      <text>
        <r>
          <rPr>
            <sz val="10"/>
            <color indexed="8"/>
            <rFont val="Arial"/>
            <family val="2"/>
          </rPr>
          <t>Export depending on whether it has a battery or not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" authorId="0" shapeId="0" xr:uid="{00000000-0006-0000-0400-000001000000}">
      <text>
        <r>
          <rPr>
            <sz val="10"/>
            <color indexed="8"/>
            <rFont val="Arial"/>
            <family val="2"/>
          </rPr>
          <t>Ratio</t>
        </r>
      </text>
    </comment>
    <comment ref="C8" authorId="0" shapeId="0" xr:uid="{00000000-0006-0000-0400-000002000000}">
      <text>
        <r>
          <rPr>
            <sz val="10"/>
            <color indexed="8"/>
            <rFont val="Arial"/>
            <family val="2"/>
          </rPr>
          <t>Proportion of energy lost via conduction / total heat loss</t>
        </r>
      </text>
    </comment>
    <comment ref="C9" authorId="0" shapeId="0" xr:uid="{00000000-0006-0000-0400-000003000000}">
      <text>
        <r>
          <rPr>
            <sz val="10"/>
            <color indexed="8"/>
            <rFont val="Arial"/>
            <family val="2"/>
          </rPr>
          <t>If insulated reduce energy consumption, else not</t>
        </r>
      </text>
    </comment>
    <comment ref="C22" authorId="0" shapeId="0" xr:uid="{00000000-0006-0000-0400-000004000000}">
      <text>
        <r>
          <rPr>
            <sz val="10"/>
            <color indexed="8"/>
            <rFont val="Arial"/>
            <family val="2"/>
          </rPr>
          <t>Ratio</t>
        </r>
      </text>
    </comment>
    <comment ref="C23" authorId="0" shapeId="0" xr:uid="{00000000-0006-0000-0400-000005000000}">
      <text>
        <r>
          <rPr>
            <sz val="10"/>
            <color indexed="8"/>
            <rFont val="Arial"/>
            <family val="2"/>
          </rPr>
          <t>Proportion of energy lost via conduction / total heat loss</t>
        </r>
      </text>
    </comment>
    <comment ref="C24" authorId="0" shapeId="0" xr:uid="{00000000-0006-0000-0400-000006000000}">
      <text>
        <r>
          <rPr>
            <sz val="10"/>
            <color indexed="8"/>
            <rFont val="Arial"/>
            <family val="2"/>
          </rPr>
          <t>If insulated reduce energy consumption, else not</t>
        </r>
      </text>
    </comment>
    <comment ref="C25" authorId="0" shapeId="0" xr:uid="{00000000-0006-0000-0400-000007000000}">
      <text>
        <r>
          <rPr>
            <sz val="10"/>
            <color indexed="8"/>
            <rFont val="Arial"/>
            <family val="2"/>
          </rPr>
          <t>Fuel consumption = demand / efficiency</t>
        </r>
      </text>
    </comment>
    <comment ref="C27" authorId="0" shapeId="0" xr:uid="{00000000-0006-0000-0400-000008000000}">
      <text>
        <r>
          <rPr>
            <sz val="10"/>
            <color indexed="8"/>
            <rFont val="Arial"/>
            <family val="2"/>
          </rPr>
          <t>If insulated boiler size is reduced by energy reduction percentage</t>
        </r>
      </text>
    </comment>
    <comment ref="C32" authorId="0" shapeId="0" xr:uid="{00000000-0006-0000-0400-000009000000}">
      <text>
        <r>
          <rPr>
            <sz val="10"/>
            <color indexed="8"/>
            <rFont val="Arial"/>
            <family val="2"/>
          </rPr>
          <t>Look up efficiency for boiler type</t>
        </r>
      </text>
    </comment>
    <comment ref="C33" authorId="0" shapeId="0" xr:uid="{00000000-0006-0000-0400-00000A000000}">
      <text>
        <r>
          <rPr>
            <sz val="10"/>
            <color indexed="8"/>
            <rFont val="Arial"/>
            <family val="2"/>
          </rPr>
          <t>Cost / kW for that type of boiler x boiler size</t>
        </r>
      </text>
    </comment>
    <comment ref="C34" authorId="0" shapeId="0" xr:uid="{00000000-0006-0000-0400-00000B000000}">
      <text>
        <r>
          <rPr>
            <sz val="10"/>
            <color indexed="8"/>
            <rFont val="Arial"/>
            <family val="2"/>
          </rPr>
          <t>If having a boiler, consumption = heat demand / efficiency</t>
        </r>
      </text>
    </comment>
    <comment ref="C35" authorId="0" shapeId="0" xr:uid="{00000000-0006-0000-0400-00000C000000}">
      <text>
        <r>
          <rPr>
            <sz val="10"/>
            <color indexed="8"/>
            <rFont val="Arial"/>
            <family val="2"/>
          </rPr>
          <t>Consumption x carbon factor</t>
        </r>
      </text>
    </comment>
    <comment ref="C36" authorId="0" shapeId="0" xr:uid="{00000000-0006-0000-0400-00000D000000}">
      <text>
        <r>
          <rPr>
            <sz val="10"/>
            <color indexed="8"/>
            <rFont val="Arial"/>
            <family val="2"/>
          </rPr>
          <t>Consumption x fuel cost</t>
        </r>
      </text>
    </comment>
    <comment ref="C37" authorId="0" shapeId="0" xr:uid="{19E8A484-AAA8-472C-8220-6413D1113926}">
      <text>
        <r>
          <rPr>
            <sz val="10"/>
            <color indexed="8"/>
            <rFont val="Arial"/>
            <family val="2"/>
          </rPr>
          <t>Consumption x RHI rate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500-000001000000}">
      <text>
        <r>
          <rPr>
            <sz val="10"/>
            <rFont val="Arial"/>
            <family val="2"/>
          </rPr>
          <t>Hempcrete lime</t>
        </r>
      </text>
    </comment>
    <comment ref="E6" authorId="0" shapeId="0" xr:uid="{00000000-0006-0000-0500-000002000000}">
      <text>
        <r>
          <rPr>
            <sz val="10"/>
            <rFont val="Arial"/>
            <family val="2"/>
          </rPr>
          <t>Lime Cork plaster</t>
        </r>
      </text>
    </comment>
    <comment ref="E7" authorId="0" shapeId="0" xr:uid="{00000000-0006-0000-0500-000003000000}">
      <text>
        <r>
          <rPr>
            <sz val="10"/>
            <rFont val="Arial"/>
            <family val="2"/>
          </rPr>
          <t>Mineral wool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700-000001000000}">
      <text>
        <r>
          <rPr>
            <sz val="10"/>
            <color indexed="8"/>
            <rFont val="Arial"/>
            <family val="2"/>
          </rPr>
          <t>Lookup self consumption using consumption</t>
        </r>
      </text>
    </comment>
    <comment ref="C13" authorId="0" shapeId="0" xr:uid="{00000000-0006-0000-0700-000002000000}">
      <text>
        <r>
          <rPr>
            <sz val="10"/>
            <color indexed="8"/>
            <rFont val="Arial"/>
            <family val="2"/>
          </rPr>
          <t>Lookup self consumption using generation</t>
        </r>
      </text>
    </comment>
    <comment ref="C24" authorId="0" shapeId="0" xr:uid="{00000000-0006-0000-0700-000003000000}">
      <text>
        <r>
          <rPr>
            <sz val="10"/>
            <color indexed="8"/>
            <rFont val="Arial"/>
            <family val="2"/>
          </rPr>
          <t>Look up self consumption  using consumption</t>
        </r>
      </text>
    </comment>
    <comment ref="C25" authorId="0" shapeId="0" xr:uid="{00000000-0006-0000-0700-000004000000}">
      <text>
        <r>
          <rPr>
            <sz val="10"/>
            <color indexed="8"/>
            <rFont val="Arial"/>
            <family val="2"/>
          </rPr>
          <t>Look up self  consumption using consumption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4" authorId="0" shapeId="0" xr:uid="{00000000-0006-0000-0800-000001000000}">
      <text>
        <r>
          <rPr>
            <sz val="10"/>
            <color indexed="8"/>
            <rFont val="Arial"/>
            <family val="2"/>
          </rPr>
          <t>Lookup values from table above for existing fuel</t>
        </r>
      </text>
    </comment>
    <comment ref="B16" authorId="0" shapeId="0" xr:uid="{00000000-0006-0000-0800-000002000000}">
      <text>
        <r>
          <rPr>
            <sz val="10"/>
            <color indexed="8"/>
            <rFont val="Arial"/>
            <family val="2"/>
          </rPr>
          <t>Look up values for proposed fuel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<sst xmlns="http://schemas.openxmlformats.org/spreadsheetml/2006/main" count="432" uniqueCount="295">
  <si>
    <t>CURRENT ENERGY CONSUMPTION</t>
  </si>
  <si>
    <t>UNITS</t>
  </si>
  <si>
    <t>FUEL</t>
  </si>
  <si>
    <t>ELECRICITY</t>
  </si>
  <si>
    <t>TOTAL</t>
  </si>
  <si>
    <t>CONSUMPTION</t>
  </si>
  <si>
    <t>kWh/yr</t>
  </si>
  <si>
    <t>BILLS</t>
  </si>
  <si>
    <t>£/yr</t>
  </si>
  <si>
    <t>CARBON EMISSIONS</t>
  </si>
  <si>
    <r>
      <t>kgCO</t>
    </r>
    <r>
      <rPr>
        <vertAlign val="subscript"/>
        <sz val="10"/>
        <color indexed="8"/>
        <rFont val="Calibri Light"/>
        <family val="2"/>
      </rPr>
      <t>2</t>
    </r>
    <r>
      <rPr>
        <sz val="10"/>
        <color indexed="8"/>
        <rFont val="Calibri Light"/>
        <family val="2"/>
      </rPr>
      <t>e/yr</t>
    </r>
  </si>
  <si>
    <t>PROPOSED ENERGY SAVING MEASURES</t>
  </si>
  <si>
    <t>ENERGY EFFICIENCY MEASURE</t>
  </si>
  <si>
    <t>SELECTION</t>
  </si>
  <si>
    <t>OPTION</t>
  </si>
  <si>
    <t>Capital Expenditure</t>
  </si>
  <si>
    <t>Energy Saving (kWh/year)</t>
  </si>
  <si>
    <t>Bill saving (£/yr)</t>
  </si>
  <si>
    <t>Income</t>
  </si>
  <si>
    <r>
      <t>CO</t>
    </r>
    <r>
      <rPr>
        <b/>
        <vertAlign val="subscript"/>
        <sz val="10"/>
        <color indexed="8"/>
        <rFont val="Calibri Light"/>
        <family val="2"/>
      </rPr>
      <t>2</t>
    </r>
    <r>
      <rPr>
        <b/>
        <sz val="10"/>
        <color indexed="8"/>
        <rFont val="Calibri Light"/>
        <family val="2"/>
      </rPr>
      <t xml:space="preserve"> saving (kgCO</t>
    </r>
    <r>
      <rPr>
        <b/>
        <vertAlign val="subscript"/>
        <sz val="10"/>
        <color indexed="8"/>
        <rFont val="Calibri Light"/>
        <family val="2"/>
      </rPr>
      <t>2</t>
    </r>
    <r>
      <rPr>
        <b/>
        <sz val="10"/>
        <color indexed="8"/>
        <rFont val="Calibri Light"/>
        <family val="2"/>
      </rPr>
      <t>e/yr)</t>
    </r>
  </si>
  <si>
    <t>Payback (yrs)</t>
  </si>
  <si>
    <t>LIGHTING UPGRADE</t>
  </si>
  <si>
    <t>PV GENERATION</t>
  </si>
  <si>
    <t>BATTERY</t>
  </si>
  <si>
    <t>-</t>
  </si>
  <si>
    <t>INSULATION</t>
  </si>
  <si>
    <t>NEW HEATING</t>
  </si>
  <si>
    <t>NEW BOILER</t>
  </si>
  <si>
    <t>New gas</t>
  </si>
  <si>
    <t>NET (10 years)</t>
  </si>
  <si>
    <t>Cost less saving/income</t>
  </si>
  <si>
    <t>Carbon saving (tonnes)</t>
  </si>
  <si>
    <r>
      <t>£/tonne CO</t>
    </r>
    <r>
      <rPr>
        <b/>
        <vertAlign val="subscript"/>
        <sz val="10"/>
        <color indexed="8"/>
        <rFont val="Calibri Light"/>
        <family val="2"/>
      </rPr>
      <t>2</t>
    </r>
    <r>
      <rPr>
        <b/>
        <sz val="10"/>
        <color indexed="8"/>
        <rFont val="Calibri Light"/>
        <family val="2"/>
      </rPr>
      <t xml:space="preserve"> saving</t>
    </r>
  </si>
  <si>
    <t>SAVING &amp; INCOME GENERATED</t>
  </si>
  <si>
    <r>
      <t>£/TONNE CO</t>
    </r>
    <r>
      <rPr>
        <b/>
        <vertAlign val="subscript"/>
        <sz val="10"/>
        <color indexed="8"/>
        <rFont val="Calibri Light"/>
        <family val="2"/>
      </rPr>
      <t>2</t>
    </r>
    <r>
      <rPr>
        <b/>
        <sz val="10"/>
        <color indexed="8"/>
        <rFont val="Calibri Light"/>
        <family val="2"/>
      </rPr>
      <t xml:space="preserve"> SAVED</t>
    </r>
  </si>
  <si>
    <t>MODEL DOUBLE OCCUPANCY</t>
  </si>
  <si>
    <t>Existing heating</t>
  </si>
  <si>
    <t>Old gas</t>
  </si>
  <si>
    <t>Building (insulation)</t>
  </si>
  <si>
    <t>Rating (kW)</t>
  </si>
  <si>
    <t>Dimensions</t>
  </si>
  <si>
    <t>Design temperature</t>
  </si>
  <si>
    <t>°C</t>
  </si>
  <si>
    <t>Calculated (kW)</t>
  </si>
  <si>
    <t>Height</t>
  </si>
  <si>
    <t>m</t>
  </si>
  <si>
    <t>Width</t>
  </si>
  <si>
    <t>Fuel</t>
  </si>
  <si>
    <t>Length</t>
  </si>
  <si>
    <t>Units</t>
  </si>
  <si>
    <t>Heat loss (conduction)</t>
  </si>
  <si>
    <t>kW</t>
  </si>
  <si>
    <t>Cost (£/yr)</t>
  </si>
  <si>
    <t>Volume</t>
  </si>
  <si>
    <t>Cost £/unit</t>
  </si>
  <si>
    <t>Air change/hour</t>
  </si>
  <si>
    <t>Standing charge (£p/day)</t>
  </si>
  <si>
    <t>Ventilation losses</t>
  </si>
  <si>
    <t>£/kWh</t>
  </si>
  <si>
    <t>Consumption (kWh) / year</t>
  </si>
  <si>
    <t>Insulation:</t>
  </si>
  <si>
    <t>Initial U value</t>
  </si>
  <si>
    <t>Final U value</t>
  </si>
  <si>
    <t>Electricity</t>
  </si>
  <si>
    <t>Building (solar)</t>
  </si>
  <si>
    <t>Peak / off-peak charges</t>
  </si>
  <si>
    <t>Roofs</t>
  </si>
  <si>
    <t>Orientation</t>
  </si>
  <si>
    <t>Pitch</t>
  </si>
  <si>
    <t>Shade factor</t>
  </si>
  <si>
    <t>Day</t>
  </si>
  <si>
    <t>Night</t>
  </si>
  <si>
    <t>Combined</t>
  </si>
  <si>
    <t>Cost £/kWh</t>
  </si>
  <si>
    <t>Standing charge (£/day)</t>
  </si>
  <si>
    <t>Consumption (kWh/yr)</t>
  </si>
  <si>
    <t>Chancel</t>
  </si>
  <si>
    <t>Consumption (kWh/day)</t>
  </si>
  <si>
    <t>Roof covering</t>
  </si>
  <si>
    <t>metal</t>
  </si>
  <si>
    <t>Existing installation</t>
  </si>
  <si>
    <t>Winter</t>
  </si>
  <si>
    <t>Summer</t>
  </si>
  <si>
    <t>After lighting upgrade</t>
  </si>
  <si>
    <t>Saving</t>
  </si>
  <si>
    <t>Consumption</t>
  </si>
  <si>
    <t>Rating (W)</t>
  </si>
  <si>
    <t>Number</t>
  </si>
  <si>
    <t>Power (kW)</t>
  </si>
  <si>
    <t>Hours/month</t>
  </si>
  <si>
    <t>kWh/year</t>
  </si>
  <si>
    <t>Halogen</t>
  </si>
  <si>
    <t>Spot</t>
  </si>
  <si>
    <t>Urns / kettles</t>
  </si>
  <si>
    <t>Other</t>
  </si>
  <si>
    <t>Heating</t>
  </si>
  <si>
    <t>TOTAL inc heating</t>
  </si>
  <si>
    <t>Consumption from bills (as a comparison)</t>
  </si>
  <si>
    <t>Number of lights:</t>
  </si>
  <si>
    <t>Light</t>
  </si>
  <si>
    <t>Proportion of electricity used for lighting:</t>
  </si>
  <si>
    <t>%</t>
  </si>
  <si>
    <t>Electricity consumption after lighting upgrade:</t>
  </si>
  <si>
    <t>String</t>
  </si>
  <si>
    <t>PV</t>
  </si>
  <si>
    <t>Height (in roof plane)</t>
  </si>
  <si>
    <t>Rows</t>
  </si>
  <si>
    <t>Columns</t>
  </si>
  <si>
    <t>Panels</t>
  </si>
  <si>
    <t>kWh/kW</t>
  </si>
  <si>
    <t>Self consumption (PV only)</t>
  </si>
  <si>
    <t>PV only</t>
  </si>
  <si>
    <t>On-site usage</t>
  </si>
  <si>
    <t>Export</t>
  </si>
  <si>
    <t>Self consumption (with battery)</t>
  </si>
  <si>
    <t>Battery size (kWh)</t>
  </si>
  <si>
    <t>Battery efficiency</t>
  </si>
  <si>
    <t>With battery (5kW, 13.5kWh)</t>
  </si>
  <si>
    <t>Increase from battery</t>
  </si>
  <si>
    <t>Export with battery</t>
  </si>
  <si>
    <t>Load shifting days (winter)</t>
  </si>
  <si>
    <t>days/yr</t>
  </si>
  <si>
    <t>Load shifting</t>
  </si>
  <si>
    <t>Saving from load shifting</t>
  </si>
  <si>
    <t>Battery throughput</t>
  </si>
  <si>
    <t>Existing heating system</t>
  </si>
  <si>
    <t>Fuel consumption</t>
  </si>
  <si>
    <t>Heat demand</t>
  </si>
  <si>
    <t>Fuel cost</t>
  </si>
  <si>
    <r>
      <t>CO</t>
    </r>
    <r>
      <rPr>
        <vertAlign val="subscript"/>
        <sz val="10"/>
        <color indexed="8"/>
        <rFont val="Arial"/>
        <family val="2"/>
      </rPr>
      <t>2</t>
    </r>
  </si>
  <si>
    <r>
      <t>kgCO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/yr</t>
    </r>
  </si>
  <si>
    <t>Saving from compartments</t>
  </si>
  <si>
    <t>Fuel reduction</t>
  </si>
  <si>
    <t>Fuel demand</t>
  </si>
  <si>
    <t>Insulation cost</t>
  </si>
  <si>
    <t>Wall area</t>
  </si>
  <si>
    <t>Roof area</t>
  </si>
  <si>
    <t>Floor area</t>
  </si>
  <si>
    <t>Walls</t>
  </si>
  <si>
    <t>Roof</t>
  </si>
  <si>
    <t>Floor</t>
  </si>
  <si>
    <t>Saving if insulated</t>
  </si>
  <si>
    <t>Reduction in U Value</t>
  </si>
  <si>
    <t>Energy reduction</t>
  </si>
  <si>
    <t>Heating demand</t>
  </si>
  <si>
    <t>Heating (if insulated)</t>
  </si>
  <si>
    <t>Size</t>
  </si>
  <si>
    <t>New boiler (if insulated)</t>
  </si>
  <si>
    <t>Efficiency</t>
  </si>
  <si>
    <t>CAPEX</t>
  </si>
  <si>
    <t>£</t>
  </si>
  <si>
    <t>LIGHTING</t>
  </si>
  <si>
    <t>Light cost</t>
  </si>
  <si>
    <t>Materials</t>
  </si>
  <si>
    <t>Installation</t>
  </si>
  <si>
    <t>PV PANEL</t>
  </si>
  <si>
    <t>PV panel</t>
  </si>
  <si>
    <t>W</t>
  </si>
  <si>
    <t>Spot/light</t>
  </si>
  <si>
    <t>Panel height</t>
  </si>
  <si>
    <t>mm</t>
  </si>
  <si>
    <t>Panel width</t>
  </si>
  <si>
    <r>
      <t>Cost/m</t>
    </r>
    <r>
      <rPr>
        <vertAlign val="superscript"/>
        <sz val="10"/>
        <color indexed="8"/>
        <rFont val="Arial"/>
        <family val="2"/>
      </rPr>
      <t>2</t>
    </r>
  </si>
  <si>
    <t>Wall</t>
  </si>
  <si>
    <t>Roof margin</t>
  </si>
  <si>
    <t>COMPARTMENTS</t>
  </si>
  <si>
    <t>EXPORT TARIFF</t>
  </si>
  <si>
    <t>Battery</t>
  </si>
  <si>
    <t>Battery cost</t>
  </si>
  <si>
    <t>inc VAT</t>
  </si>
  <si>
    <t>(13.5kWh, 5kw)</t>
  </si>
  <si>
    <t>Technology</t>
  </si>
  <si>
    <t>UFH &amp; RADs</t>
  </si>
  <si>
    <t>BIOMASS BOILER</t>
  </si>
  <si>
    <t>£ (100kW)</t>
  </si>
  <si>
    <t>£/kW</t>
  </si>
  <si>
    <t>£/kW inc VAT</t>
  </si>
  <si>
    <t>Boiler and heating quote</t>
  </si>
  <si>
    <t>Pellet Boiler – 100kW Arikazan</t>
  </si>
  <si>
    <t>5 Tonne Pellet store, auger and associated parts</t>
  </si>
  <si>
    <t>Heating controls, thermostats and timers for 4 heating zones</t>
  </si>
  <si>
    <t>Control valves and circulating pumps and temperature control</t>
  </si>
  <si>
    <t>Thermal store</t>
  </si>
  <si>
    <t>Pipe, insulation and plumbing components</t>
  </si>
  <si>
    <t>Flue system (uncoloured) to height to clear the side of church (apse?)  to meet building regulations.</t>
  </si>
  <si>
    <t>Four ground mounted, two wall mounted fan assisted heaters</t>
  </si>
  <si>
    <t>Parts and insulation for UFH in four 100m2 zones</t>
  </si>
  <si>
    <t>Labour to install boiler, erect flue, construct pellet boiler, run pipework to 4 locations  for underfloor heating</t>
  </si>
  <si>
    <t>Heat meter</t>
  </si>
  <si>
    <t>Labour to remove and replace pews, lay underfloor heating</t>
  </si>
  <si>
    <t>Commissioning</t>
  </si>
  <si>
    <t>SOLAR</t>
  </si>
  <si>
    <t>Self consumption</t>
  </si>
  <si>
    <t>TABLE A (PV generation &lt;10,000 kWh/yr)</t>
  </si>
  <si>
    <t>PV (kWh)</t>
  </si>
  <si>
    <t>Consumption (kWh)</t>
  </si>
  <si>
    <t>With battery</t>
  </si>
  <si>
    <t>Usage</t>
  </si>
  <si>
    <t>Once per week</t>
  </si>
  <si>
    <t>Several times per week</t>
  </si>
  <si>
    <t>TABLE B (PV generation &gt;10,000 kWh/yr)</t>
  </si>
  <si>
    <t>PV Cost</t>
  </si>
  <si>
    <t>&lt;10kW</t>
  </si>
  <si>
    <t>&gt;10kW</t>
  </si>
  <si>
    <t>Cost for roof chosen:</t>
  </si>
  <si>
    <t>Cost for roof and size</t>
  </si>
  <si>
    <t>Cost</t>
  </si>
  <si>
    <t>&gt;10kw</t>
  </si>
  <si>
    <t>£/W</t>
  </si>
  <si>
    <t>Slate</t>
  </si>
  <si>
    <t>Metal</t>
  </si>
  <si>
    <t>HEATING</t>
  </si>
  <si>
    <r>
      <t>CO</t>
    </r>
    <r>
      <rPr>
        <b/>
        <vertAlign val="subscript"/>
        <sz val="10"/>
        <color indexed="8"/>
        <rFont val="Arial"/>
        <family val="2"/>
      </rPr>
      <t>2</t>
    </r>
  </si>
  <si>
    <t>RHI</t>
  </si>
  <si>
    <t>Bill units</t>
  </si>
  <si>
    <t>kWh/unit</t>
  </si>
  <si>
    <t>kg/kWh</t>
  </si>
  <si>
    <t>kWh</t>
  </si>
  <si>
    <t>Biomass</t>
  </si>
  <si>
    <t>kg</t>
  </si>
  <si>
    <t>Air-Air Heat Pump</t>
  </si>
  <si>
    <t>Air-Water Heat-pump</t>
  </si>
  <si>
    <t>Diesel</t>
  </si>
  <si>
    <t>litres</t>
  </si>
  <si>
    <t>None</t>
  </si>
  <si>
    <t>existing</t>
  </si>
  <si>
    <t>proposed</t>
  </si>
  <si>
    <t>Orientation (variation from south)</t>
  </si>
  <si>
    <t>Slope</t>
  </si>
  <si>
    <t>S</t>
  </si>
  <si>
    <t>Aisle</t>
  </si>
  <si>
    <t>Nave</t>
  </si>
  <si>
    <t>Several times per month</t>
  </si>
  <si>
    <t>RESULTS</t>
  </si>
  <si>
    <r>
      <t>CARBON SAVING (KgCO</t>
    </r>
    <r>
      <rPr>
        <b/>
        <vertAlign val="subscript"/>
        <sz val="10"/>
        <color indexed="8"/>
        <rFont val="Calibri Light"/>
        <family val="2"/>
      </rPr>
      <t>2</t>
    </r>
    <r>
      <rPr>
        <b/>
        <sz val="10"/>
        <color indexed="8"/>
        <rFont val="Calibri Light"/>
        <family val="2"/>
      </rPr>
      <t>e/year)</t>
    </r>
  </si>
  <si>
    <t>RESULTING EMISSIONS (KgCO2e/year)</t>
  </si>
  <si>
    <t>PAYBACK (YEARS)</t>
  </si>
  <si>
    <t>PARTITION BUILDING</t>
  </si>
  <si>
    <r>
      <t>m</t>
    </r>
    <r>
      <rPr>
        <vertAlign val="superscript"/>
        <sz val="10"/>
        <color indexed="8"/>
        <rFont val="Calibri"/>
        <family val="2"/>
        <scheme val="minor"/>
      </rPr>
      <t>3</t>
    </r>
  </si>
  <si>
    <r>
      <t>W/m</t>
    </r>
    <r>
      <rPr>
        <vertAlign val="superscript"/>
        <sz val="10"/>
        <color indexed="8"/>
        <rFont val="Calibri"/>
        <family val="2"/>
        <scheme val="minor"/>
      </rPr>
      <t>2</t>
    </r>
    <r>
      <rPr>
        <sz val="10"/>
        <color indexed="8"/>
        <rFont val="Calibri"/>
        <family val="2"/>
        <scheme val="minor"/>
      </rPr>
      <t>°C</t>
    </r>
  </si>
  <si>
    <t>Pitch (degrees)</t>
  </si>
  <si>
    <t>EXISTING HEATING SYSTEM</t>
  </si>
  <si>
    <t>HEAT SOURCE</t>
  </si>
  <si>
    <t>kW RATING (FROM BOILER)</t>
  </si>
  <si>
    <t>pence/kWh</t>
  </si>
  <si>
    <t>pence/day</t>
  </si>
  <si>
    <t>ELECTRICITY COSTS</t>
  </si>
  <si>
    <t>PEAK / OFF PEAK CHARGES</t>
  </si>
  <si>
    <t>COST PER UNIT</t>
  </si>
  <si>
    <t>STANDING CHARGE</t>
  </si>
  <si>
    <t>COST PER YEAR</t>
  </si>
  <si>
    <t>PEAK (DAYTIME)</t>
  </si>
  <si>
    <t>OFF-PEAK (NIGHTIME)</t>
  </si>
  <si>
    <t>HEATING COSTS</t>
  </si>
  <si>
    <t>REQUIRED AIR CHANGES</t>
  </si>
  <si>
    <t>HEIGHT</t>
  </si>
  <si>
    <t>WIDTH</t>
  </si>
  <si>
    <t>LENGTH</t>
  </si>
  <si>
    <t>AVERAGE BUILDING DIMENSIONS (FOR INSULATION)</t>
  </si>
  <si>
    <t>SOUTH FACING ROOF DIMENSIONS (FOR SOLAR)</t>
  </si>
  <si>
    <t>AISLE</t>
  </si>
  <si>
    <t>NAVE</t>
  </si>
  <si>
    <t>CHANCEL</t>
  </si>
  <si>
    <t>ORIENTATION (DEGREES FROM SOUTH)</t>
  </si>
  <si>
    <t>metres</t>
  </si>
  <si>
    <t>/hour</t>
  </si>
  <si>
    <t>WIDTH IN ROOF PLANE (M)</t>
  </si>
  <si>
    <t>LENGTH (M)</t>
  </si>
  <si>
    <t>PITCH (DEGREES)</t>
  </si>
  <si>
    <t>SHADE FACTOR (ESTIMATE OR USE MCS DIAGRAM)</t>
  </si>
  <si>
    <t>ROOF COVERING</t>
  </si>
  <si>
    <t>OTHER</t>
  </si>
  <si>
    <t>ELECTRICITY CONSUMPTION</t>
  </si>
  <si>
    <t>HALOGEN LIGHT</t>
  </si>
  <si>
    <t>SPOTLIGHT</t>
  </si>
  <si>
    <t>URNS / KETTLE</t>
  </si>
  <si>
    <t>RATING (W)</t>
  </si>
  <si>
    <t>NUMBER</t>
  </si>
  <si>
    <t>ELECTRIC SPACE HEATERS</t>
  </si>
  <si>
    <t>CONSUMPTION FROM BILLS (FOR COMPARISON)</t>
  </si>
  <si>
    <t>TOTAL CONSUMPTION (INCLUDING ELECTRIC HEATING)</t>
  </si>
  <si>
    <t>BUILDING U VALUES</t>
  </si>
  <si>
    <t>U-VALUE OF EXISTING BUILDING</t>
  </si>
  <si>
    <t>TARGET U-VALUE</t>
  </si>
  <si>
    <t>Insulation options</t>
  </si>
  <si>
    <t>Whole Building</t>
  </si>
  <si>
    <t>Partitioned Areas Only</t>
  </si>
  <si>
    <t>HOURS OF USE PER MONTH</t>
  </si>
  <si>
    <t>WINTER</t>
  </si>
  <si>
    <t>SUMMER</t>
  </si>
  <si>
    <t>pence/unit</t>
  </si>
  <si>
    <t>UNIT OF MEASUREMENT</t>
  </si>
  <si>
    <t>CALCULATED HEAT LOAD</t>
  </si>
  <si>
    <t>Outdoor lights</t>
  </si>
  <si>
    <t>OUTDOOR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</si>
</sst>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£-809]#,##0;\-[$£-809]#,##0"/>
    <numFmt numFmtId="165" formatCode="&quot;TRUE&quot;;&quot;TRUE&quot;;&quot;FALSE&quot;"/>
    <numFmt numFmtId="166" formatCode="#,##0\ ;\-#,##0\ "/>
    <numFmt numFmtId="167" formatCode="[$£-809]#,##0.00;\-[$£-809]#,##0.00"/>
    <numFmt numFmtId="168" formatCode="0.000"/>
    <numFmt numFmtId="169" formatCode="0.0"/>
    <numFmt numFmtId="170" formatCode="[$£-809]#,##0.00;[Red]\-[$£-809]#,##0.00"/>
    <numFmt numFmtId="171" formatCode="[$£-809]#,##0;[Red]\-[$£-809]#,##0"/>
    <numFmt numFmtId="172" formatCode="\£#,##0"/>
    <numFmt numFmtId="173" formatCode="#,##0_ ;\-#,##0\ "/>
    <numFmt numFmtId="174" formatCode="&quot;£&quot;#,##0.00"/>
    <numFmt numFmtId="175" formatCode="&quot;£&quot;#,##0.0000"/>
    <numFmt numFmtId="176" formatCode="0.00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 Light"/>
      <family val="2"/>
    </font>
    <font>
      <b/>
      <u/>
      <sz val="10"/>
      <color indexed="8"/>
      <name val="Calibri Light"/>
      <family val="2"/>
    </font>
    <font>
      <b/>
      <sz val="10"/>
      <color indexed="8"/>
      <name val="Calibri Light"/>
      <family val="2"/>
    </font>
    <font>
      <vertAlign val="subscript"/>
      <sz val="10"/>
      <color indexed="8"/>
      <name val="Calibri Light"/>
      <family val="2"/>
    </font>
    <font>
      <b/>
      <vertAlign val="subscript"/>
      <sz val="10"/>
      <color indexed="8"/>
      <name val="Calibri Light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Arial"/>
      <family val="2"/>
    </font>
    <font>
      <sz val="11"/>
      <color indexed="8"/>
      <name val="Calibri Light"/>
      <family val="2"/>
    </font>
    <font>
      <u/>
      <sz val="10"/>
      <color indexed="8"/>
      <name val="Calibri Light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Calibri"/>
      <family val="2"/>
    </font>
    <font>
      <vertAlign val="subscript"/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b/>
      <vertAlign val="subscript"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2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77111117893"/>
      </bottom>
      <diagonal/>
    </border>
    <border>
      <left/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9" fillId="0" borderId="0"/>
    <xf numFmtId="0" fontId="14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2" fillId="0" borderId="0" xfId="3" applyNumberFormat="1" applyFont="1" applyFill="1" applyBorder="1" applyAlignment="1" applyProtection="1"/>
    <xf numFmtId="0" fontId="2" fillId="0" borderId="0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/>
    <xf numFmtId="0" fontId="4" fillId="0" borderId="0" xfId="3" applyNumberFormat="1" applyFont="1" applyFill="1" applyBorder="1" applyAlignment="1" applyProtection="1"/>
    <xf numFmtId="3" fontId="2" fillId="0" borderId="0" xfId="3" applyNumberFormat="1" applyFont="1" applyFill="1" applyBorder="1" applyAlignment="1" applyProtection="1">
      <alignment horizontal="left"/>
    </xf>
    <xf numFmtId="3" fontId="4" fillId="0" borderId="0" xfId="3" applyNumberFormat="1" applyFont="1" applyFill="1" applyBorder="1" applyAlignment="1" applyProtection="1">
      <alignment horizontal="left"/>
    </xf>
    <xf numFmtId="0" fontId="4" fillId="0" borderId="1" xfId="3" applyNumberFormat="1" applyFont="1" applyFill="1" applyBorder="1" applyAlignment="1" applyProtection="1"/>
    <xf numFmtId="1" fontId="2" fillId="0" borderId="1" xfId="3" applyNumberFormat="1" applyFont="1" applyFill="1" applyBorder="1" applyAlignment="1" applyProtection="1">
      <alignment horizontal="left"/>
    </xf>
    <xf numFmtId="3" fontId="2" fillId="0" borderId="1" xfId="3" applyNumberFormat="1" applyFont="1" applyFill="1" applyBorder="1" applyAlignment="1" applyProtection="1">
      <alignment horizontal="left"/>
    </xf>
    <xf numFmtId="1" fontId="4" fillId="0" borderId="0" xfId="3" applyNumberFormat="1" applyFont="1" applyFill="1" applyBorder="1" applyAlignment="1" applyProtection="1">
      <alignment horizontal="left"/>
    </xf>
    <xf numFmtId="0" fontId="10" fillId="0" borderId="0" xfId="1" applyNumberFormat="1" applyFont="1" applyProtection="1"/>
    <xf numFmtId="0" fontId="3" fillId="0" borderId="0" xfId="3" applyNumberFormat="1" applyFont="1" applyFill="1" applyBorder="1" applyAlignment="1" applyProtection="1">
      <alignment horizontal="left"/>
    </xf>
    <xf numFmtId="0" fontId="11" fillId="0" borderId="0" xfId="3" applyNumberFormat="1" applyFont="1" applyFill="1" applyBorder="1" applyAlignment="1" applyProtection="1"/>
    <xf numFmtId="0" fontId="1" fillId="0" borderId="0" xfId="3" applyNumberFormat="1" applyFont="1" applyFill="1" applyBorder="1" applyAlignment="1" applyProtection="1"/>
    <xf numFmtId="0" fontId="12" fillId="0" borderId="0" xfId="3" applyNumberFormat="1" applyFont="1" applyFill="1" applyBorder="1" applyAlignment="1" applyProtection="1"/>
    <xf numFmtId="0" fontId="1" fillId="0" borderId="0" xfId="3" applyNumberFormat="1" applyFont="1" applyFill="1" applyBorder="1" applyAlignment="1" applyProtection="1">
      <alignment horizontal="left"/>
    </xf>
    <xf numFmtId="0" fontId="12" fillId="0" borderId="0" xfId="3" applyNumberFormat="1" applyFont="1" applyFill="1" applyBorder="1" applyAlignment="1" applyProtection="1">
      <alignment horizontal="left"/>
    </xf>
    <xf numFmtId="0" fontId="1" fillId="3" borderId="0" xfId="3" applyNumberFormat="1" applyFont="1" applyFill="1" applyBorder="1" applyAlignment="1" applyProtection="1"/>
    <xf numFmtId="0" fontId="1" fillId="3" borderId="0" xfId="3" applyNumberFormat="1" applyFont="1" applyFill="1" applyBorder="1" applyAlignment="1" applyProtection="1">
      <alignment horizontal="left"/>
    </xf>
    <xf numFmtId="1" fontId="1" fillId="0" borderId="0" xfId="3" applyNumberFormat="1" applyFont="1" applyFill="1" applyBorder="1" applyAlignment="1" applyProtection="1">
      <alignment horizontal="left"/>
    </xf>
    <xf numFmtId="9" fontId="1" fillId="0" borderId="0" xfId="3" applyNumberFormat="1" applyFont="1" applyFill="1" applyBorder="1" applyAlignment="1" applyProtection="1">
      <alignment horizontal="left"/>
    </xf>
    <xf numFmtId="3" fontId="1" fillId="0" borderId="0" xfId="3" applyNumberFormat="1" applyFont="1" applyFill="1" applyBorder="1" applyAlignment="1" applyProtection="1">
      <alignment horizontal="left"/>
    </xf>
    <xf numFmtId="169" fontId="1" fillId="0" borderId="0" xfId="3" applyNumberFormat="1" applyFont="1" applyFill="1" applyBorder="1" applyAlignment="1" applyProtection="1">
      <alignment horizontal="left"/>
    </xf>
    <xf numFmtId="0" fontId="14" fillId="0" borderId="0" xfId="3" applyNumberFormat="1" applyFont="1" applyFill="1" applyBorder="1" applyAlignment="1" applyProtection="1">
      <alignment horizontal="left"/>
    </xf>
    <xf numFmtId="3" fontId="12" fillId="0" borderId="0" xfId="3" applyNumberFormat="1" applyFont="1" applyFill="1" applyBorder="1" applyAlignment="1" applyProtection="1">
      <alignment horizontal="left"/>
    </xf>
    <xf numFmtId="9" fontId="1" fillId="4" borderId="0" xfId="3" applyNumberFormat="1" applyFont="1" applyFill="1" applyBorder="1" applyAlignment="1" applyProtection="1">
      <alignment horizontal="left"/>
    </xf>
    <xf numFmtId="164" fontId="1" fillId="0" borderId="0" xfId="3" applyNumberFormat="1" applyFont="1" applyFill="1" applyBorder="1" applyAlignment="1" applyProtection="1">
      <alignment horizontal="left"/>
    </xf>
    <xf numFmtId="1" fontId="1" fillId="0" borderId="0" xfId="3" applyNumberFormat="1" applyFont="1" applyFill="1" applyBorder="1" applyAlignment="1" applyProtection="1"/>
    <xf numFmtId="167" fontId="1" fillId="0" borderId="0" xfId="3" applyNumberFormat="1" applyFont="1" applyFill="1" applyBorder="1" applyAlignment="1" applyProtection="1">
      <alignment horizontal="left"/>
    </xf>
    <xf numFmtId="2" fontId="1" fillId="0" borderId="0" xfId="3" applyNumberFormat="1" applyFont="1" applyFill="1" applyBorder="1" applyAlignment="1" applyProtection="1">
      <alignment horizontal="left"/>
    </xf>
    <xf numFmtId="0" fontId="9" fillId="0" borderId="0" xfId="3" applyNumberFormat="1" applyFont="1" applyFill="1" applyBorder="1" applyAlignment="1" applyProtection="1"/>
    <xf numFmtId="164" fontId="12" fillId="0" borderId="0" xfId="3" applyNumberFormat="1" applyFont="1" applyFill="1" applyBorder="1" applyAlignment="1" applyProtection="1">
      <alignment horizontal="left"/>
    </xf>
    <xf numFmtId="0" fontId="1" fillId="4" borderId="0" xfId="3" applyNumberFormat="1" applyFont="1" applyFill="1" applyBorder="1" applyAlignment="1" applyProtection="1">
      <alignment horizontal="left"/>
    </xf>
    <xf numFmtId="164" fontId="9" fillId="0" borderId="0" xfId="3" applyNumberFormat="1" applyFont="1" applyFill="1" applyBorder="1" applyAlignment="1" applyProtection="1">
      <alignment horizontal="left"/>
    </xf>
    <xf numFmtId="0" fontId="16" fillId="0" borderId="0" xfId="3" applyNumberFormat="1" applyFont="1" applyFill="1" applyBorder="1" applyAlignment="1" applyProtection="1">
      <alignment horizontal="left"/>
    </xf>
    <xf numFmtId="0" fontId="9" fillId="0" borderId="0" xfId="3" applyNumberFormat="1" applyFont="1" applyFill="1" applyBorder="1" applyAlignment="1" applyProtection="1">
      <alignment horizontal="left"/>
    </xf>
    <xf numFmtId="0" fontId="16" fillId="0" borderId="0" xfId="3" applyNumberFormat="1" applyFont="1" applyFill="1" applyBorder="1" applyAlignment="1" applyProtection="1"/>
    <xf numFmtId="164" fontId="9" fillId="6" borderId="0" xfId="3" applyNumberFormat="1" applyFont="1" applyFill="1" applyBorder="1" applyAlignment="1" applyProtection="1">
      <alignment horizontal="left"/>
    </xf>
    <xf numFmtId="164" fontId="16" fillId="0" borderId="0" xfId="3" applyNumberFormat="1" applyFont="1" applyFill="1" applyBorder="1" applyAlignment="1" applyProtection="1">
      <alignment horizontal="left"/>
    </xf>
    <xf numFmtId="170" fontId="9" fillId="0" borderId="0" xfId="3" applyNumberFormat="1" applyFont="1" applyFill="1" applyBorder="1" applyAlignment="1" applyProtection="1">
      <alignment horizontal="left"/>
    </xf>
    <xf numFmtId="0" fontId="17" fillId="0" borderId="0" xfId="3" applyNumberFormat="1" applyFont="1" applyFill="1" applyBorder="1" applyAlignment="1" applyProtection="1"/>
    <xf numFmtId="171" fontId="1" fillId="0" borderId="0" xfId="3" applyNumberFormat="1" applyFont="1" applyFill="1" applyBorder="1" applyAlignment="1" applyProtection="1">
      <alignment horizontal="left"/>
    </xf>
    <xf numFmtId="168" fontId="1" fillId="0" borderId="0" xfId="3" applyNumberFormat="1" applyFont="1" applyFill="1" applyBorder="1" applyAlignment="1" applyProtection="1">
      <alignment horizontal="left"/>
    </xf>
    <xf numFmtId="172" fontId="1" fillId="0" borderId="0" xfId="3" applyNumberFormat="1" applyFont="1" applyFill="1" applyBorder="1" applyAlignment="1" applyProtection="1">
      <alignment horizontal="left"/>
    </xf>
    <xf numFmtId="0" fontId="1" fillId="0" borderId="0" xfId="4" applyNumberFormat="1" applyFont="1" applyFill="1" applyBorder="1" applyAlignment="1" applyProtection="1"/>
    <xf numFmtId="0" fontId="1" fillId="0" borderId="0" xfId="4" applyNumberFormat="1" applyFont="1" applyFill="1" applyBorder="1" applyAlignment="1" applyProtection="1">
      <alignment horizontal="left"/>
    </xf>
    <xf numFmtId="1" fontId="1" fillId="0" borderId="0" xfId="4" applyNumberFormat="1" applyFont="1" applyFill="1" applyBorder="1" applyAlignment="1" applyProtection="1">
      <alignment horizontal="center" vertical="center"/>
    </xf>
    <xf numFmtId="3" fontId="14" fillId="0" borderId="0" xfId="2" applyNumberFormat="1" applyFont="1" applyFill="1" applyBorder="1" applyAlignment="1" applyProtection="1">
      <alignment horizontal="left"/>
    </xf>
    <xf numFmtId="0" fontId="1" fillId="0" borderId="0" xfId="3" applyNumberFormat="1" applyFont="1" applyFill="1" applyBorder="1" applyAlignment="1" applyProtection="1">
      <alignment horizontal="left"/>
      <protection locked="0"/>
    </xf>
    <xf numFmtId="49" fontId="1" fillId="0" borderId="0" xfId="3" applyNumberFormat="1" applyFont="1" applyFill="1" applyBorder="1" applyAlignment="1" applyProtection="1">
      <alignment horizontal="left"/>
      <protection locked="0"/>
    </xf>
    <xf numFmtId="0" fontId="1" fillId="0" borderId="0" xfId="3" applyNumberFormat="1" applyFont="1" applyFill="1" applyBorder="1" applyAlignment="1" applyProtection="1">
      <protection locked="0"/>
    </xf>
    <xf numFmtId="0" fontId="2" fillId="0" borderId="0" xfId="3" applyNumberFormat="1" applyFont="1" applyFill="1" applyBorder="1" applyAlignment="1" applyProtection="1">
      <alignment horizontal="left"/>
      <protection locked="0"/>
    </xf>
    <xf numFmtId="0" fontId="3" fillId="0" borderId="0" xfId="3" applyNumberFormat="1" applyFont="1" applyFill="1" applyBorder="1" applyAlignment="1" applyProtection="1">
      <protection locked="0"/>
    </xf>
    <xf numFmtId="0" fontId="2" fillId="0" borderId="0" xfId="3" applyNumberFormat="1" applyFont="1" applyFill="1" applyBorder="1" applyAlignment="1" applyProtection="1">
      <protection locked="0"/>
    </xf>
    <xf numFmtId="0" fontId="4" fillId="0" borderId="0" xfId="3" applyNumberFormat="1" applyFont="1" applyFill="1" applyBorder="1" applyAlignment="1" applyProtection="1">
      <protection locked="0"/>
    </xf>
    <xf numFmtId="0" fontId="3" fillId="0" borderId="0" xfId="3" applyNumberFormat="1" applyFont="1" applyFill="1" applyBorder="1" applyAlignment="1" applyProtection="1">
      <alignment horizontal="left"/>
      <protection locked="0"/>
    </xf>
    <xf numFmtId="0" fontId="11" fillId="0" borderId="0" xfId="3" applyNumberFormat="1" applyFont="1" applyFill="1" applyBorder="1" applyAlignment="1" applyProtection="1">
      <protection locked="0"/>
    </xf>
    <xf numFmtId="0" fontId="1" fillId="0" borderId="0" xfId="3"/>
    <xf numFmtId="0" fontId="1" fillId="3" borderId="0" xfId="3" applyFill="1"/>
    <xf numFmtId="0" fontId="1" fillId="3" borderId="0" xfId="3" applyFill="1" applyAlignment="1">
      <alignment horizontal="left"/>
    </xf>
    <xf numFmtId="0" fontId="1" fillId="0" borderId="0" xfId="3" applyAlignment="1">
      <alignment horizontal="left"/>
    </xf>
    <xf numFmtId="1" fontId="1" fillId="0" borderId="0" xfId="3" applyNumberFormat="1" applyAlignment="1">
      <alignment horizontal="left"/>
    </xf>
    <xf numFmtId="0" fontId="12" fillId="0" borderId="0" xfId="3" applyFont="1"/>
    <xf numFmtId="1" fontId="19" fillId="7" borderId="0" xfId="4" applyNumberFormat="1" applyFont="1" applyFill="1" applyBorder="1" applyAlignment="1" applyProtection="1">
      <alignment horizontal="center" vertical="center"/>
    </xf>
    <xf numFmtId="164" fontId="1" fillId="0" borderId="0" xfId="3" applyNumberFormat="1" applyAlignment="1">
      <alignment horizontal="left"/>
    </xf>
    <xf numFmtId="9" fontId="1" fillId="0" borderId="0" xfId="3" applyNumberFormat="1" applyAlignment="1">
      <alignment horizontal="left"/>
    </xf>
    <xf numFmtId="0" fontId="20" fillId="0" borderId="0" xfId="3" applyNumberFormat="1" applyFont="1" applyFill="1" applyBorder="1" applyAlignment="1" applyProtection="1">
      <protection hidden="1"/>
    </xf>
    <xf numFmtId="0" fontId="21" fillId="3" borderId="0" xfId="3" applyNumberFormat="1" applyFont="1" applyFill="1" applyBorder="1" applyAlignment="1" applyProtection="1">
      <protection locked="0"/>
    </xf>
    <xf numFmtId="0" fontId="21" fillId="0" borderId="0" xfId="3" applyNumberFormat="1" applyFont="1" applyFill="1" applyBorder="1" applyAlignment="1" applyProtection="1">
      <protection hidden="1"/>
    </xf>
    <xf numFmtId="0" fontId="21" fillId="4" borderId="0" xfId="3" applyNumberFormat="1" applyFont="1" applyFill="1" applyBorder="1" applyAlignment="1" applyProtection="1">
      <alignment horizontal="left"/>
      <protection locked="0"/>
    </xf>
    <xf numFmtId="0" fontId="21" fillId="0" borderId="0" xfId="3" applyNumberFormat="1" applyFont="1" applyFill="1" applyBorder="1" applyAlignment="1" applyProtection="1">
      <alignment horizontal="left"/>
      <protection hidden="1"/>
    </xf>
    <xf numFmtId="1" fontId="21" fillId="0" borderId="0" xfId="3" applyNumberFormat="1" applyFont="1" applyFill="1" applyBorder="1" applyAlignment="1" applyProtection="1">
      <alignment horizontal="left"/>
      <protection hidden="1"/>
    </xf>
    <xf numFmtId="168" fontId="21" fillId="0" borderId="0" xfId="3" applyNumberFormat="1" applyFont="1" applyFill="1" applyBorder="1" applyAlignment="1" applyProtection="1">
      <alignment horizontal="left"/>
      <protection hidden="1"/>
    </xf>
    <xf numFmtId="3" fontId="21" fillId="0" borderId="0" xfId="3" applyNumberFormat="1" applyFont="1" applyFill="1" applyBorder="1" applyAlignment="1" applyProtection="1">
      <alignment horizontal="left"/>
      <protection hidden="1"/>
    </xf>
    <xf numFmtId="9" fontId="21" fillId="0" borderId="0" xfId="3" applyNumberFormat="1" applyFont="1" applyFill="1" applyBorder="1" applyAlignment="1" applyProtection="1">
      <alignment horizontal="left"/>
      <protection hidden="1"/>
    </xf>
    <xf numFmtId="0" fontId="20" fillId="0" borderId="0" xfId="3" applyNumberFormat="1" applyFont="1" applyFill="1" applyBorder="1" applyAlignment="1" applyProtection="1">
      <alignment horizontal="left"/>
      <protection hidden="1"/>
    </xf>
    <xf numFmtId="164" fontId="21" fillId="0" borderId="0" xfId="3" applyNumberFormat="1" applyFont="1" applyFill="1" applyBorder="1" applyAlignment="1" applyProtection="1">
      <alignment horizontal="left"/>
      <protection hidden="1"/>
    </xf>
    <xf numFmtId="165" fontId="21" fillId="3" borderId="0" xfId="3" applyNumberFormat="1" applyFont="1" applyFill="1" applyBorder="1" applyAlignment="1" applyProtection="1">
      <alignment horizontal="left"/>
      <protection locked="0"/>
    </xf>
    <xf numFmtId="0" fontId="21" fillId="3" borderId="0" xfId="3" applyNumberFormat="1" applyFont="1" applyFill="1" applyBorder="1" applyAlignment="1" applyProtection="1">
      <alignment horizontal="left"/>
      <protection locked="0"/>
    </xf>
    <xf numFmtId="174" fontId="21" fillId="4" borderId="0" xfId="3" applyNumberFormat="1" applyFont="1" applyFill="1" applyBorder="1" applyAlignment="1" applyProtection="1">
      <alignment horizontal="left"/>
      <protection locked="0"/>
    </xf>
    <xf numFmtId="175" fontId="21" fillId="4" borderId="0" xfId="3" applyNumberFormat="1" applyFont="1" applyFill="1" applyBorder="1" applyAlignment="1" applyProtection="1">
      <alignment horizontal="left"/>
      <protection locked="0"/>
    </xf>
    <xf numFmtId="0" fontId="23" fillId="0" borderId="0" xfId="0" applyFont="1"/>
    <xf numFmtId="0" fontId="20" fillId="0" borderId="0" xfId="3" applyNumberFormat="1" applyFont="1" applyFill="1" applyBorder="1" applyAlignment="1" applyProtection="1"/>
    <xf numFmtId="0" fontId="24" fillId="0" borderId="0" xfId="0" applyFont="1"/>
    <xf numFmtId="4" fontId="23" fillId="10" borderId="0" xfId="0" applyNumberFormat="1" applyFont="1" applyFill="1"/>
    <xf numFmtId="0" fontId="21" fillId="9" borderId="2" xfId="3" applyNumberFormat="1" applyFont="1" applyFill="1" applyBorder="1" applyAlignment="1" applyProtection="1">
      <protection locked="0"/>
    </xf>
    <xf numFmtId="4" fontId="21" fillId="3" borderId="0" xfId="3" applyNumberFormat="1" applyFont="1" applyFill="1" applyBorder="1" applyAlignment="1" applyProtection="1">
      <alignment horizontal="left"/>
      <protection locked="0"/>
    </xf>
    <xf numFmtId="0" fontId="23" fillId="0" borderId="0" xfId="0" applyFont="1" applyFill="1" applyBorder="1"/>
    <xf numFmtId="174" fontId="23" fillId="0" borderId="0" xfId="0" applyNumberFormat="1" applyFont="1" applyFill="1" applyBorder="1"/>
    <xf numFmtId="4" fontId="23" fillId="0" borderId="0" xfId="0" applyNumberFormat="1" applyFont="1" applyFill="1" applyBorder="1"/>
    <xf numFmtId="0" fontId="21" fillId="11" borderId="0" xfId="3" applyNumberFormat="1" applyFont="1" applyFill="1" applyBorder="1" applyAlignment="1" applyProtection="1">
      <alignment horizontal="left"/>
      <protection locked="0"/>
    </xf>
    <xf numFmtId="0" fontId="21" fillId="12" borderId="0" xfId="3" applyNumberFormat="1" applyFont="1" applyFill="1" applyBorder="1" applyAlignment="1" applyProtection="1">
      <protection locked="0"/>
    </xf>
    <xf numFmtId="0" fontId="21" fillId="12" borderId="0" xfId="3" applyNumberFormat="1" applyFont="1" applyFill="1" applyBorder="1" applyAlignment="1" applyProtection="1">
      <alignment horizontal="left"/>
      <protection locked="0"/>
    </xf>
    <xf numFmtId="0" fontId="23" fillId="10" borderId="0" xfId="0" applyFont="1" applyFill="1" applyProtection="1">
      <protection locked="0"/>
    </xf>
    <xf numFmtId="174" fontId="23" fillId="10" borderId="2" xfId="0" applyNumberFormat="1" applyFont="1" applyFill="1" applyBorder="1" applyProtection="1">
      <protection locked="0"/>
    </xf>
    <xf numFmtId="4" fontId="23" fillId="10" borderId="2" xfId="0" applyNumberFormat="1" applyFont="1" applyFill="1" applyBorder="1" applyProtection="1">
      <protection locked="0"/>
    </xf>
    <xf numFmtId="4" fontId="23" fillId="10" borderId="0" xfId="0" applyNumberFormat="1" applyFont="1" applyFill="1" applyProtection="1">
      <protection locked="0"/>
    </xf>
    <xf numFmtId="0" fontId="23" fillId="8" borderId="3" xfId="0" applyFont="1" applyFill="1" applyBorder="1" applyProtection="1">
      <protection locked="0"/>
    </xf>
    <xf numFmtId="0" fontId="1" fillId="0" borderId="0" xfId="3" applyFill="1" applyAlignment="1">
      <alignment horizontal="left"/>
    </xf>
    <xf numFmtId="1" fontId="1" fillId="0" borderId="0" xfId="3" applyNumberFormat="1" applyFill="1" applyAlignment="1">
      <alignment horizontal="left"/>
    </xf>
    <xf numFmtId="0" fontId="23" fillId="8" borderId="4" xfId="0" applyFont="1" applyFill="1" applyBorder="1" applyProtection="1">
      <protection locked="0"/>
    </xf>
    <xf numFmtId="0" fontId="23" fillId="0" borderId="5" xfId="0" applyFont="1" applyBorder="1"/>
    <xf numFmtId="3" fontId="23" fillId="0" borderId="6" xfId="0" applyNumberFormat="1" applyFont="1" applyBorder="1"/>
    <xf numFmtId="4" fontId="21" fillId="4" borderId="0" xfId="3" applyNumberFormat="1" applyFont="1" applyFill="1" applyBorder="1" applyAlignment="1" applyProtection="1">
      <alignment horizontal="left"/>
      <protection locked="0"/>
    </xf>
    <xf numFmtId="0" fontId="2" fillId="0" borderId="0" xfId="3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3" fontId="2" fillId="0" borderId="0" xfId="3" applyNumberFormat="1" applyFont="1" applyFill="1" applyBorder="1" applyAlignment="1" applyProtection="1">
      <alignment horizontal="center"/>
    </xf>
    <xf numFmtId="3" fontId="4" fillId="0" borderId="0" xfId="3" applyNumberFormat="1" applyFont="1" applyFill="1" applyBorder="1" applyAlignment="1" applyProtection="1">
      <alignment horizontal="center"/>
    </xf>
    <xf numFmtId="164" fontId="2" fillId="0" borderId="0" xfId="3" applyNumberFormat="1" applyFont="1" applyFill="1" applyBorder="1" applyAlignment="1" applyProtection="1">
      <alignment horizontal="center"/>
    </xf>
    <xf numFmtId="164" fontId="4" fillId="0" borderId="0" xfId="3" applyNumberFormat="1" applyFont="1" applyFill="1" applyBorder="1" applyAlignment="1" applyProtection="1">
      <alignment horizontal="center"/>
    </xf>
    <xf numFmtId="1" fontId="4" fillId="0" borderId="0" xfId="3" applyNumberFormat="1" applyFont="1" applyFill="1" applyBorder="1" applyAlignment="1" applyProtection="1">
      <alignment horizontal="center"/>
    </xf>
    <xf numFmtId="9" fontId="2" fillId="0" borderId="0" xfId="3" applyNumberFormat="1" applyFont="1" applyFill="1" applyBorder="1" applyAlignment="1" applyProtection="1">
      <alignment horizontal="center"/>
    </xf>
    <xf numFmtId="4" fontId="21" fillId="5" borderId="0" xfId="3" applyNumberFormat="1" applyFont="1" applyFill="1" applyBorder="1" applyAlignment="1" applyProtection="1">
      <alignment horizontal="left"/>
      <protection locked="0"/>
    </xf>
    <xf numFmtId="176" fontId="1" fillId="0" borderId="0" xfId="3" applyNumberFormat="1" applyFont="1" applyFill="1" applyBorder="1" applyAlignment="1" applyProtection="1">
      <alignment horizontal="left"/>
    </xf>
    <xf numFmtId="0" fontId="23" fillId="0" borderId="0" xfId="0" applyFont="1" applyProtection="1"/>
    <xf numFmtId="4" fontId="23" fillId="0" borderId="0" xfId="0" applyNumberFormat="1" applyFont="1" applyFill="1" applyProtection="1"/>
    <xf numFmtId="4" fontId="23" fillId="0" borderId="0" xfId="0" applyNumberFormat="1" applyFont="1" applyFill="1" applyBorder="1" applyProtection="1"/>
    <xf numFmtId="0" fontId="1" fillId="13" borderId="0" xfId="3" applyNumberFormat="1" applyFont="1" applyFill="1" applyBorder="1" applyAlignment="1" applyProtection="1"/>
    <xf numFmtId="0" fontId="1" fillId="13" borderId="0" xfId="3" applyNumberFormat="1" applyFont="1" applyFill="1" applyBorder="1" applyAlignment="1" applyProtection="1">
      <alignment horizontal="left"/>
    </xf>
    <xf numFmtId="0" fontId="1" fillId="14" borderId="0" xfId="3" applyNumberFormat="1" applyFont="1" applyFill="1" applyBorder="1" applyAlignment="1" applyProtection="1">
      <alignment horizontal="left"/>
    </xf>
    <xf numFmtId="1" fontId="1" fillId="14" borderId="0" xfId="3" applyNumberFormat="1" applyFont="1" applyFill="1" applyBorder="1" applyAlignment="1" applyProtection="1">
      <alignment horizontal="left"/>
    </xf>
    <xf numFmtId="2" fontId="1" fillId="14" borderId="0" xfId="3" applyNumberFormat="1" applyFont="1" applyFill="1" applyBorder="1" applyAlignment="1" applyProtection="1">
      <alignment horizontal="left"/>
    </xf>
    <xf numFmtId="0" fontId="23" fillId="0" borderId="7" xfId="0" applyFont="1" applyBorder="1" applyProtection="1"/>
    <xf numFmtId="0" fontId="23" fillId="0" borderId="7" xfId="0" applyFont="1" applyBorder="1" applyAlignment="1">
      <alignment wrapText="1"/>
    </xf>
    <xf numFmtId="0" fontId="23" fillId="8" borderId="8" xfId="0" applyFont="1" applyFill="1" applyBorder="1" applyProtection="1">
      <protection locked="0"/>
    </xf>
    <xf numFmtId="0" fontId="23" fillId="8" borderId="9" xfId="0" applyFont="1" applyFill="1" applyBorder="1" applyProtection="1">
      <protection locked="0"/>
    </xf>
    <xf numFmtId="0" fontId="23" fillId="8" borderId="10" xfId="0" applyFont="1" applyFill="1" applyBorder="1" applyProtection="1">
      <protection locked="0"/>
    </xf>
    <xf numFmtId="0" fontId="23" fillId="8" borderId="11" xfId="0" applyFont="1" applyFill="1" applyBorder="1" applyProtection="1">
      <protection locked="0"/>
    </xf>
    <xf numFmtId="0" fontId="23" fillId="8" borderId="12" xfId="0" applyFont="1" applyFill="1" applyBorder="1" applyProtection="1">
      <protection locked="0"/>
    </xf>
    <xf numFmtId="0" fontId="23" fillId="8" borderId="13" xfId="0" applyFont="1" applyFill="1" applyBorder="1" applyProtection="1">
      <protection locked="0"/>
    </xf>
    <xf numFmtId="0" fontId="23" fillId="8" borderId="14" xfId="0" applyFont="1" applyFill="1" applyBorder="1" applyProtection="1">
      <protection locked="0"/>
    </xf>
    <xf numFmtId="0" fontId="23" fillId="0" borderId="7" xfId="0" applyFont="1" applyBorder="1"/>
    <xf numFmtId="4" fontId="23" fillId="10" borderId="15" xfId="0" applyNumberFormat="1" applyFont="1" applyFill="1" applyBorder="1" applyProtection="1">
      <protection locked="0"/>
    </xf>
    <xf numFmtId="4" fontId="23" fillId="10" borderId="16" xfId="0" applyNumberFormat="1" applyFont="1" applyFill="1" applyBorder="1" applyProtection="1">
      <protection locked="0"/>
    </xf>
    <xf numFmtId="0" fontId="23" fillId="8" borderId="17" xfId="0" applyFont="1" applyFill="1" applyBorder="1" applyProtection="1">
      <protection locked="0"/>
    </xf>
    <xf numFmtId="0" fontId="23" fillId="8" borderId="18" xfId="0" applyFont="1" applyFill="1" applyBorder="1" applyProtection="1">
      <protection locked="0"/>
    </xf>
    <xf numFmtId="0" fontId="23" fillId="8" borderId="19" xfId="0" applyFont="1" applyFill="1" applyBorder="1" applyProtection="1">
      <protection locked="0"/>
    </xf>
    <xf numFmtId="3" fontId="23" fillId="0" borderId="20" xfId="0" applyNumberFormat="1" applyFont="1" applyBorder="1"/>
    <xf numFmtId="0" fontId="23" fillId="0" borderId="21" xfId="0" applyFont="1" applyBorder="1"/>
    <xf numFmtId="0" fontId="23" fillId="0" borderId="22" xfId="0" applyFont="1" applyBorder="1"/>
    <xf numFmtId="0" fontId="23" fillId="0" borderId="23" xfId="0" applyFont="1" applyBorder="1" applyProtection="1"/>
    <xf numFmtId="174" fontId="23" fillId="0" borderId="24" xfId="0" applyNumberFormat="1" applyFont="1" applyFill="1" applyBorder="1" applyAlignment="1" applyProtection="1">
      <alignment horizontal="right"/>
    </xf>
    <xf numFmtId="1" fontId="23" fillId="0" borderId="0" xfId="0" applyNumberFormat="1" applyFont="1" applyBorder="1" applyProtection="1"/>
    <xf numFmtId="0" fontId="2" fillId="0" borderId="7" xfId="3" applyNumberFormat="1" applyFont="1" applyFill="1" applyBorder="1" applyAlignment="1" applyProtection="1"/>
    <xf numFmtId="0" fontId="4" fillId="0" borderId="7" xfId="3" applyNumberFormat="1" applyFont="1" applyFill="1" applyBorder="1" applyAlignment="1" applyProtection="1">
      <alignment horizontal="center"/>
    </xf>
    <xf numFmtId="0" fontId="2" fillId="0" borderId="7" xfId="3" applyNumberFormat="1" applyFont="1" applyFill="1" applyBorder="1" applyAlignment="1" applyProtection="1">
      <protection locked="0"/>
    </xf>
    <xf numFmtId="0" fontId="4" fillId="0" borderId="7" xfId="3" applyNumberFormat="1" applyFont="1" applyFill="1" applyBorder="1" applyAlignment="1" applyProtection="1"/>
    <xf numFmtId="3" fontId="2" fillId="0" borderId="7" xfId="3" applyNumberFormat="1" applyFont="1" applyFill="1" applyBorder="1" applyAlignment="1" applyProtection="1">
      <alignment horizontal="center"/>
    </xf>
    <xf numFmtId="3" fontId="4" fillId="0" borderId="7" xfId="3" applyNumberFormat="1" applyFont="1" applyFill="1" applyBorder="1" applyAlignment="1" applyProtection="1">
      <alignment horizontal="center"/>
    </xf>
    <xf numFmtId="164" fontId="2" fillId="0" borderId="7" xfId="3" applyNumberFormat="1" applyFont="1" applyFill="1" applyBorder="1" applyAlignment="1" applyProtection="1">
      <alignment horizontal="center"/>
    </xf>
    <xf numFmtId="164" fontId="4" fillId="0" borderId="7" xfId="3" applyNumberFormat="1" applyFont="1" applyFill="1" applyBorder="1" applyAlignment="1" applyProtection="1">
      <alignment horizontal="center"/>
    </xf>
    <xf numFmtId="0" fontId="4" fillId="0" borderId="7" xfId="3" applyNumberFormat="1" applyFont="1" applyFill="1" applyBorder="1" applyAlignment="1" applyProtection="1">
      <protection locked="0"/>
    </xf>
    <xf numFmtId="0" fontId="2" fillId="0" borderId="7" xfId="3" applyNumberFormat="1" applyFont="1" applyFill="1" applyBorder="1" applyAlignment="1" applyProtection="1">
      <alignment horizontal="center"/>
    </xf>
    <xf numFmtId="0" fontId="4" fillId="2" borderId="7" xfId="3" applyNumberFormat="1" applyFont="1" applyFill="1" applyBorder="1" applyAlignment="1" applyProtection="1">
      <alignment horizontal="center" vertical="center"/>
      <protection hidden="1"/>
    </xf>
    <xf numFmtId="165" fontId="2" fillId="0" borderId="7" xfId="3" applyNumberFormat="1" applyFont="1" applyFill="1" applyBorder="1" applyAlignment="1" applyProtection="1">
      <alignment horizontal="left"/>
      <protection locked="0"/>
    </xf>
    <xf numFmtId="166" fontId="2" fillId="0" borderId="7" xfId="3" applyNumberFormat="1" applyFont="1" applyFill="1" applyBorder="1" applyAlignment="1" applyProtection="1">
      <alignment horizontal="center"/>
    </xf>
    <xf numFmtId="1" fontId="2" fillId="0" borderId="7" xfId="3" applyNumberFormat="1" applyFont="1" applyFill="1" applyBorder="1" applyAlignment="1" applyProtection="1">
      <alignment horizontal="center"/>
    </xf>
    <xf numFmtId="0" fontId="4" fillId="2" borderId="7" xfId="3" applyNumberFormat="1" applyFont="1" applyFill="1" applyBorder="1" applyAlignment="1" applyProtection="1">
      <alignment horizontal="center" vertical="center"/>
      <protection locked="0"/>
    </xf>
    <xf numFmtId="1" fontId="2" fillId="0" borderId="7" xfId="3" applyNumberFormat="1" applyFont="1" applyFill="1" applyBorder="1" applyAlignment="1" applyProtection="1">
      <alignment horizontal="left"/>
      <protection locked="0"/>
    </xf>
    <xf numFmtId="0" fontId="4" fillId="0" borderId="7" xfId="3" applyNumberFormat="1" applyFont="1" applyFill="1" applyBorder="1" applyAlignment="1" applyProtection="1">
      <alignment horizontal="left"/>
    </xf>
    <xf numFmtId="3" fontId="4" fillId="0" borderId="7" xfId="3" applyNumberFormat="1" applyFont="1" applyFill="1" applyBorder="1" applyAlignment="1" applyProtection="1"/>
    <xf numFmtId="167" fontId="4" fillId="0" borderId="7" xfId="3" applyNumberFormat="1" applyFont="1" applyFill="1" applyBorder="1" applyAlignment="1" applyProtection="1"/>
    <xf numFmtId="0" fontId="4" fillId="0" borderId="7" xfId="3" applyFont="1" applyBorder="1" applyAlignment="1">
      <alignment horizontal="left"/>
    </xf>
    <xf numFmtId="173" fontId="4" fillId="0" borderId="7" xfId="3" applyNumberFormat="1" applyFont="1" applyBorder="1"/>
    <xf numFmtId="0" fontId="4" fillId="0" borderId="25" xfId="3" applyNumberFormat="1" applyFont="1" applyFill="1" applyBorder="1" applyAlignment="1" applyProtection="1"/>
    <xf numFmtId="0" fontId="4" fillId="2" borderId="26" xfId="3" applyNumberFormat="1" applyFont="1" applyFill="1" applyBorder="1" applyAlignment="1" applyProtection="1">
      <protection hidden="1"/>
    </xf>
    <xf numFmtId="0" fontId="4" fillId="0" borderId="23" xfId="3" applyNumberFormat="1" applyFont="1" applyFill="1" applyBorder="1" applyAlignment="1" applyProtection="1"/>
    <xf numFmtId="0" fontId="23" fillId="0" borderId="0" xfId="0" applyFont="1" applyAlignment="1">
      <alignment horizontal="left"/>
    </xf>
    <xf numFmtId="0" fontId="23" fillId="0" borderId="7" xfId="0" applyFont="1" applyBorder="1" applyAlignment="1">
      <alignment horizontal="center"/>
    </xf>
    <xf numFmtId="1" fontId="19" fillId="7" borderId="0" xfId="4" applyNumberFormat="1" applyFont="1" applyFill="1" applyBorder="1" applyAlignment="1" applyProtection="1">
      <alignment horizontal="center" vertical="center"/>
    </xf>
  </cellXfs>
  <cellStyles count="5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Normal" xfId="0" builtinId="0"/>
    <cellStyle name="Normal 2" xfId="4" xr:uid="{00000000-0005-0000-0000-000004000000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14" lockText="1"/>
</file>

<file path=xl/ctrlProps/ctrlProp2.xml><?xml version="1.0" encoding="utf-8"?>
<formControlPr xmlns="http://schemas.microsoft.com/office/spreadsheetml/2009/9/main" objectType="CheckBox" fmlaLink="$D$15" lockText="1"/>
</file>

<file path=xl/ctrlProps/ctrlProp3.xml><?xml version="1.0" encoding="utf-8"?>
<formControlPr xmlns="http://schemas.microsoft.com/office/spreadsheetml/2009/9/main" objectType="CheckBox" fmlaLink="$D$16" lockText="1"/>
</file>

<file path=xl/ctrlProps/ctrlProp4.xml><?xml version="1.0" encoding="utf-8"?>
<formControlPr xmlns="http://schemas.microsoft.com/office/spreadsheetml/2009/9/main" objectType="CheckBox" fmlaLink="$D$17" lockText="1"/>
</file>

<file path=xl/ctrlProps/ctrlProp5.xml><?xml version="1.0" encoding="utf-8"?>
<formControlPr xmlns="http://schemas.microsoft.com/office/spreadsheetml/2009/9/main" objectType="CheckBox" fmlaLink="$D$19" lockText="1"/>
</file>

<file path=xl/ctrlProps/ctrlProp6.xml><?xml version="1.0" encoding="utf-8"?>
<formControlPr xmlns="http://schemas.microsoft.com/office/spreadsheetml/2009/9/main" objectType="CheckBox" fmlaLink="$D$36" lockText="1"/>
</file>

<file path=xl/ctrlProps/ctrlProp7.xml><?xml version="1.0" encoding="utf-8"?>
<formControlPr xmlns="http://schemas.microsoft.com/office/spreadsheetml/2009/9/main" objectType="CheckBox" fmlaLink="Inputs!$C$17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13</xdr:row>
      <xdr:rowOff>0</xdr:rowOff>
    </xdr:from>
    <xdr:to>
      <xdr:col>2</xdr:col>
      <xdr:colOff>504825</xdr:colOff>
      <xdr:row>14</xdr:row>
      <xdr:rowOff>0</xdr:rowOff>
    </xdr:to>
    <xdr:sp macro="" textlink="">
      <xdr:nvSpPr>
        <xdr:cNvPr id="1053" name="Check Box 35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13</xdr:row>
      <xdr:rowOff>152400</xdr:rowOff>
    </xdr:from>
    <xdr:to>
      <xdr:col>2</xdr:col>
      <xdr:colOff>495300</xdr:colOff>
      <xdr:row>14</xdr:row>
      <xdr:rowOff>152400</xdr:rowOff>
    </xdr:to>
    <xdr:sp macro="" textlink="">
      <xdr:nvSpPr>
        <xdr:cNvPr id="1054" name="Check Box 36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16</xdr:row>
      <xdr:rowOff>0</xdr:rowOff>
    </xdr:from>
    <xdr:to>
      <xdr:col>2</xdr:col>
      <xdr:colOff>476250</xdr:colOff>
      <xdr:row>17</xdr:row>
      <xdr:rowOff>0</xdr:rowOff>
    </xdr:to>
    <xdr:sp macro="" textlink="">
      <xdr:nvSpPr>
        <xdr:cNvPr id="1055" name="Check Box 38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14</xdr:row>
      <xdr:rowOff>152400</xdr:rowOff>
    </xdr:from>
    <xdr:to>
      <xdr:col>2</xdr:col>
      <xdr:colOff>514350</xdr:colOff>
      <xdr:row>16</xdr:row>
      <xdr:rowOff>0</xdr:rowOff>
    </xdr:to>
    <xdr:sp macro="" textlink="">
      <xdr:nvSpPr>
        <xdr:cNvPr id="1056" name="Check Box 39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16</xdr:row>
      <xdr:rowOff>152400</xdr:rowOff>
    </xdr:from>
    <xdr:to>
      <xdr:col>2</xdr:col>
      <xdr:colOff>533400</xdr:colOff>
      <xdr:row>18</xdr:row>
      <xdr:rowOff>0</xdr:rowOff>
    </xdr:to>
    <xdr:sp macro="" textlink="">
      <xdr:nvSpPr>
        <xdr:cNvPr id="1057" name="Check Box 40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17</xdr:row>
      <xdr:rowOff>152400</xdr:rowOff>
    </xdr:from>
    <xdr:to>
      <xdr:col>2</xdr:col>
      <xdr:colOff>495300</xdr:colOff>
      <xdr:row>19</xdr:row>
      <xdr:rowOff>0</xdr:rowOff>
    </xdr:to>
    <xdr:sp macro="" textlink="">
      <xdr:nvSpPr>
        <xdr:cNvPr id="1058" name="Check Box 41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35</xdr:row>
      <xdr:rowOff>0</xdr:rowOff>
    </xdr:from>
    <xdr:to>
      <xdr:col>2</xdr:col>
      <xdr:colOff>504825</xdr:colOff>
      <xdr:row>36</xdr:row>
      <xdr:rowOff>0</xdr:rowOff>
    </xdr:to>
    <xdr:sp macro="" textlink="">
      <xdr:nvSpPr>
        <xdr:cNvPr id="1061" name="Check Box 35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12</xdr:row>
          <xdr:rowOff>133350</xdr:rowOff>
        </xdr:from>
        <xdr:to>
          <xdr:col>2</xdr:col>
          <xdr:colOff>828675</xdr:colOff>
          <xdr:row>14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13</xdr:row>
          <xdr:rowOff>133350</xdr:rowOff>
        </xdr:from>
        <xdr:to>
          <xdr:col>2</xdr:col>
          <xdr:colOff>828675</xdr:colOff>
          <xdr:row>15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14</xdr:row>
          <xdr:rowOff>123825</xdr:rowOff>
        </xdr:from>
        <xdr:to>
          <xdr:col>2</xdr:col>
          <xdr:colOff>828675</xdr:colOff>
          <xdr:row>16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15</xdr:row>
          <xdr:rowOff>123825</xdr:rowOff>
        </xdr:from>
        <xdr:to>
          <xdr:col>2</xdr:col>
          <xdr:colOff>828675</xdr:colOff>
          <xdr:row>17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17</xdr:row>
          <xdr:rowOff>104775</xdr:rowOff>
        </xdr:from>
        <xdr:to>
          <xdr:col>2</xdr:col>
          <xdr:colOff>828675</xdr:colOff>
          <xdr:row>19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34</xdr:row>
          <xdr:rowOff>123825</xdr:rowOff>
        </xdr:from>
        <xdr:to>
          <xdr:col>2</xdr:col>
          <xdr:colOff>809625</xdr:colOff>
          <xdr:row>36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12</xdr:row>
          <xdr:rowOff>114300</xdr:rowOff>
        </xdr:from>
        <xdr:to>
          <xdr:col>2</xdr:col>
          <xdr:colOff>752475</xdr:colOff>
          <xdr:row>14</xdr:row>
          <xdr:rowOff>38100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12</xdr:col>
      <xdr:colOff>647700</xdr:colOff>
      <xdr:row>29</xdr:row>
      <xdr:rowOff>123825</xdr:rowOff>
    </xdr:to>
    <xdr:pic>
      <xdr:nvPicPr>
        <xdr:cNvPr id="7173" name="Graphics 1">
          <a:extLst>
            <a:ext uri="{FF2B5EF4-FFF2-40B4-BE49-F238E27FC236}">
              <a16:creationId xmlns:a16="http://schemas.microsoft.com/office/drawing/2014/main" id="{00000000-0008-0000-0700-00000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9772650" cy="471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P44"/>
  <sheetViews>
    <sheetView showGridLines="0" showRowColHeaders="0" zoomScale="115" zoomScaleNormal="115" workbookViewId="0">
      <selection activeCell="C18" sqref="C18"/>
    </sheetView>
  </sheetViews>
  <sheetFormatPr defaultColWidth="11.7109375" defaultRowHeight="12.75" x14ac:dyDescent="0.2"/>
  <cols>
    <col min="1" max="1" width="7.140625" style="1" customWidth="1"/>
    <col min="2" max="2" width="37.5703125" style="1" customWidth="1"/>
    <col min="3" max="3" width="20.5703125" style="1" customWidth="1"/>
    <col min="4" max="4" width="15.140625" style="54" hidden="1" customWidth="1"/>
    <col min="5" max="5" width="20.5703125" style="105" customWidth="1"/>
    <col min="6" max="6" width="24" style="105" customWidth="1"/>
    <col min="7" max="7" width="20.5703125" style="105" customWidth="1"/>
    <col min="8" max="8" width="23.140625" style="105" customWidth="1"/>
    <col min="9" max="9" width="22.42578125" style="105" customWidth="1"/>
    <col min="10" max="10" width="0" style="2" hidden="1" customWidth="1"/>
    <col min="11" max="16384" width="11.7109375" style="1"/>
  </cols>
  <sheetData>
    <row r="2" spans="2:14" x14ac:dyDescent="0.2">
      <c r="B2" s="3" t="s">
        <v>0</v>
      </c>
      <c r="C2" s="3"/>
      <c r="D2" s="53"/>
      <c r="N2" s="4"/>
    </row>
    <row r="3" spans="2:14" x14ac:dyDescent="0.2">
      <c r="N3" s="4"/>
    </row>
    <row r="4" spans="2:14" x14ac:dyDescent="0.2">
      <c r="B4" s="144"/>
      <c r="C4" s="145" t="s">
        <v>1</v>
      </c>
      <c r="D4" s="146"/>
      <c r="E4" s="145" t="s">
        <v>2</v>
      </c>
      <c r="F4" s="145" t="s">
        <v>3</v>
      </c>
      <c r="G4" s="145" t="s">
        <v>4</v>
      </c>
    </row>
    <row r="5" spans="2:14" x14ac:dyDescent="0.2">
      <c r="B5" s="147" t="s">
        <v>5</v>
      </c>
      <c r="C5" s="144" t="s">
        <v>6</v>
      </c>
      <c r="D5" s="146"/>
      <c r="E5" s="148">
        <f>IFERROR(IF(D36=TRUE,(Inputs!C12*2),Inputs!C12),0)</f>
        <v>0</v>
      </c>
      <c r="F5" s="148">
        <f>IFERROR(IF(D36=TRUE,(Inputs!E22*2),Inputs!E22),0)</f>
        <v>0</v>
      </c>
      <c r="G5" s="149">
        <f>F5+E5</f>
        <v>0</v>
      </c>
    </row>
    <row r="6" spans="2:14" x14ac:dyDescent="0.2">
      <c r="B6" s="147" t="s">
        <v>7</v>
      </c>
      <c r="C6" s="144" t="s">
        <v>8</v>
      </c>
      <c r="D6" s="146"/>
      <c r="E6" s="150">
        <f>IFERROR((E5*Inputs!C11)+(356*Inputs!C10),0)</f>
        <v>0</v>
      </c>
      <c r="F6" s="150">
        <f>IF(D36=TRUE,((Inputs!E19*2)-(365*Inputs!E21/100)),Inputs!E19)</f>
        <v>0</v>
      </c>
      <c r="G6" s="151">
        <f>F6+E6</f>
        <v>0</v>
      </c>
    </row>
    <row r="7" spans="2:14" ht="14.25" x14ac:dyDescent="0.25">
      <c r="B7" s="147" t="s">
        <v>9</v>
      </c>
      <c r="C7" s="144" t="s">
        <v>10</v>
      </c>
      <c r="D7" s="146"/>
      <c r="E7" s="149">
        <f>E5*'Look_Up_Tables_-_Heating'!D14</f>
        <v>0</v>
      </c>
      <c r="F7" s="149">
        <f>F5*'Look_Up_Tables_-_Heating'!D4</f>
        <v>0</v>
      </c>
      <c r="G7" s="149">
        <f>F7+E7</f>
        <v>0</v>
      </c>
    </row>
    <row r="8" spans="2:14" x14ac:dyDescent="0.2">
      <c r="B8" s="4"/>
      <c r="E8" s="108"/>
      <c r="F8" s="108"/>
      <c r="G8" s="108"/>
    </row>
    <row r="9" spans="2:14" x14ac:dyDescent="0.2">
      <c r="B9" s="3"/>
      <c r="C9" s="3"/>
      <c r="D9" s="53"/>
      <c r="I9" s="108"/>
      <c r="J9" s="1"/>
    </row>
    <row r="10" spans="2:14" x14ac:dyDescent="0.2">
      <c r="B10" s="3" t="s">
        <v>11</v>
      </c>
      <c r="C10" s="3"/>
      <c r="D10" s="53"/>
      <c r="I10" s="108"/>
      <c r="J10" s="1"/>
    </row>
    <row r="11" spans="2:14" x14ac:dyDescent="0.2">
      <c r="B11" s="3"/>
      <c r="C11" s="3"/>
      <c r="D11" s="53"/>
      <c r="I11" s="108"/>
      <c r="J11" s="1"/>
    </row>
    <row r="12" spans="2:14" ht="14.25" x14ac:dyDescent="0.25">
      <c r="B12" s="147" t="s">
        <v>12</v>
      </c>
      <c r="C12" s="145" t="s">
        <v>13</v>
      </c>
      <c r="D12" s="152" t="s">
        <v>14</v>
      </c>
      <c r="E12" s="151" t="s">
        <v>15</v>
      </c>
      <c r="F12" s="151" t="s">
        <v>16</v>
      </c>
      <c r="G12" s="151" t="s">
        <v>17</v>
      </c>
      <c r="H12" s="145" t="s">
        <v>18</v>
      </c>
      <c r="I12" s="145" t="s">
        <v>19</v>
      </c>
      <c r="J12" s="7" t="s">
        <v>20</v>
      </c>
    </row>
    <row r="13" spans="2:14" x14ac:dyDescent="0.2">
      <c r="B13" s="144"/>
      <c r="C13" s="144"/>
      <c r="D13" s="146"/>
      <c r="E13" s="153"/>
      <c r="F13" s="153"/>
      <c r="G13" s="153"/>
      <c r="H13" s="153"/>
      <c r="I13" s="153"/>
      <c r="J13" s="7"/>
    </row>
    <row r="14" spans="2:14" x14ac:dyDescent="0.2">
      <c r="B14" s="147" t="s">
        <v>237</v>
      </c>
      <c r="C14" s="154"/>
      <c r="D14" s="155" t="b">
        <v>0</v>
      </c>
      <c r="E14" s="150">
        <f>D14*Heating_Design!C14/4*Assumptions!E9</f>
        <v>0</v>
      </c>
      <c r="F14" s="156">
        <f>Heating_Design!C8</f>
        <v>0</v>
      </c>
      <c r="G14" s="150">
        <f>Heating_Design!C8*'Look_Up_Tables_-_Heating'!E14</f>
        <v>0</v>
      </c>
      <c r="H14" s="153">
        <v>0</v>
      </c>
      <c r="I14" s="148">
        <f>D14*E7/2</f>
        <v>0</v>
      </c>
      <c r="J14" s="8">
        <f>IF(D14,(E14/(G14+H14)),0)</f>
        <v>0</v>
      </c>
    </row>
    <row r="15" spans="2:14" x14ac:dyDescent="0.2">
      <c r="B15" s="147" t="s">
        <v>21</v>
      </c>
      <c r="C15" s="154"/>
      <c r="D15" s="155" t="b">
        <v>0</v>
      </c>
      <c r="E15" s="150">
        <f>D15*Assumptions!F3*Electricity_consumption!E14</f>
        <v>0</v>
      </c>
      <c r="F15" s="148">
        <f>D15*Electricity_consumption!O9</f>
        <v>0</v>
      </c>
      <c r="G15" s="150">
        <f>F15*'Look_Up_Tables_-_Heating'!E4</f>
        <v>0</v>
      </c>
      <c r="H15" s="157">
        <v>0</v>
      </c>
      <c r="I15" s="157">
        <f>F15*'Look_Up_Tables_-_Heating'!D14</f>
        <v>0</v>
      </c>
      <c r="J15" s="8">
        <f>IF(D15,(E15/(G15+H15)),0)</f>
        <v>0</v>
      </c>
    </row>
    <row r="16" spans="2:14" x14ac:dyDescent="0.2">
      <c r="B16" s="147" t="s">
        <v>22</v>
      </c>
      <c r="C16" s="154"/>
      <c r="D16" s="155" t="b">
        <v>0</v>
      </c>
      <c r="E16" s="150">
        <f>D16*'Look_Up_Tables_-_PV'!I28*PV_design!H8</f>
        <v>0</v>
      </c>
      <c r="F16" s="148">
        <f>PV_design!K8*D16</f>
        <v>0</v>
      </c>
      <c r="G16" s="150">
        <f>IFERROR(((PV_design!D12*Inputs!C20)*D16),0)</f>
        <v>0</v>
      </c>
      <c r="H16" s="150">
        <f>IFERROR((D16*PV_design!D28*Assumptions!C11),0)</f>
        <v>0</v>
      </c>
      <c r="I16" s="148">
        <f>F16*'Look_Up_Tables_-_Heating'!D4</f>
        <v>0</v>
      </c>
      <c r="J16" s="8">
        <f>IF(D16,E16/(G16+H16),0)</f>
        <v>0</v>
      </c>
    </row>
    <row r="17" spans="2:16" x14ac:dyDescent="0.2">
      <c r="B17" s="147" t="s">
        <v>23</v>
      </c>
      <c r="C17" s="154"/>
      <c r="D17" s="155" t="b">
        <v>0</v>
      </c>
      <c r="E17" s="150">
        <f>D17*Assumptions!J11</f>
        <v>0</v>
      </c>
      <c r="F17" s="148">
        <f>IFERROR((PV_design!D26*D17*D16),0)</f>
        <v>0</v>
      </c>
      <c r="G17" s="150">
        <f>IFERROR((D16*D17*PV_design!D22+D17*PV_design!D25),0)</f>
        <v>0</v>
      </c>
      <c r="H17" s="148">
        <v>0</v>
      </c>
      <c r="I17" s="148" t="s">
        <v>24</v>
      </c>
      <c r="J17" s="8">
        <f>IF(D17,E17/(G17+H17),0)</f>
        <v>0</v>
      </c>
    </row>
    <row r="18" spans="2:16" x14ac:dyDescent="0.2">
      <c r="B18" s="147" t="s">
        <v>25</v>
      </c>
      <c r="C18" s="158" t="s">
        <v>224</v>
      </c>
      <c r="D18" s="155" t="str" cm="1">
        <f t="array" ref="D18">_xlfn.IFS(C18&lt;&gt;Heating_Design!B40,C18,C18=Heating_Design!B40,IF(Summary!D14=TRUE,Summary!C18,Heating_Design!B41))</f>
        <v>None</v>
      </c>
      <c r="E18" s="150">
        <f>LOOKUP(D18,Heating_Design!B39:B41,Heating_Design!C39:C41)</f>
        <v>0</v>
      </c>
      <c r="F18" s="148">
        <f>IFERROR((Heating_Design!C9-Heating_Design!C25),0)</f>
        <v>0</v>
      </c>
      <c r="G18" s="150">
        <f>IF(D18&lt;&gt;"None",(Heating_Design!C11-Heating_Design!C28),0)</f>
        <v>0</v>
      </c>
      <c r="H18" s="148">
        <v>0</v>
      </c>
      <c r="I18" s="148">
        <f>IFERROR(Heating_Design!C12-Heating_Design!C29,0)</f>
        <v>0</v>
      </c>
      <c r="J18" s="9" t="e">
        <f>E18/G18</f>
        <v>#DIV/0!</v>
      </c>
    </row>
    <row r="19" spans="2:16" x14ac:dyDescent="0.2">
      <c r="B19" s="147" t="s">
        <v>26</v>
      </c>
      <c r="C19" s="154"/>
      <c r="D19" s="155" t="b">
        <v>0</v>
      </c>
      <c r="E19" s="150">
        <f>Assumptions!D14*D19</f>
        <v>0</v>
      </c>
      <c r="F19" s="148" t="s">
        <v>24</v>
      </c>
      <c r="G19" s="150">
        <v>0</v>
      </c>
      <c r="H19" s="148">
        <v>0</v>
      </c>
      <c r="I19" s="148" t="s">
        <v>24</v>
      </c>
      <c r="J19" s="9" t="s">
        <v>24</v>
      </c>
    </row>
    <row r="20" spans="2:16" x14ac:dyDescent="0.2">
      <c r="B20" s="147" t="s">
        <v>27</v>
      </c>
      <c r="C20" s="158" t="s">
        <v>224</v>
      </c>
      <c r="D20" s="159" t="str">
        <f>IF(C20&lt;&gt;"None",C20,IF(C20="None",'Client Input'!C3))</f>
        <v>None</v>
      </c>
      <c r="E20" s="150">
        <f>IF(D20=Inputs!C2,0,Heating_Design!C33)</f>
        <v>0</v>
      </c>
      <c r="F20" s="148">
        <f>IF(D20="none",0,Heating_Design!C25-Heating_Design!C34)</f>
        <v>0</v>
      </c>
      <c r="G20" s="150">
        <f>IFERROR(Heating_Design!C28-Heating_Design!C36,0)</f>
        <v>0</v>
      </c>
      <c r="H20" s="150">
        <f>Heating_Design!C37</f>
        <v>0</v>
      </c>
      <c r="I20" s="148">
        <f>IF(D20="none",0,Heating_Design!C29-Heating_Design!C35)</f>
        <v>0</v>
      </c>
      <c r="J20" s="8" t="e">
        <f>E20/(G20+H20)</f>
        <v>#DIV/0!</v>
      </c>
    </row>
    <row r="21" spans="2:16" ht="14.85" customHeight="1" x14ac:dyDescent="0.2">
      <c r="B21" s="147" t="s">
        <v>4</v>
      </c>
      <c r="C21" s="147"/>
      <c r="D21" s="152"/>
      <c r="E21" s="151">
        <f>SUM(E14:E20)</f>
        <v>0</v>
      </c>
      <c r="F21" s="151">
        <f>SUM(F14:F20)</f>
        <v>0</v>
      </c>
      <c r="G21" s="151">
        <f>SUM(G14:G20)</f>
        <v>0</v>
      </c>
      <c r="H21" s="151">
        <f>SUM(H14:H20)</f>
        <v>0</v>
      </c>
      <c r="I21" s="149">
        <f>SUM(I14:I20)</f>
        <v>0</v>
      </c>
      <c r="J21" s="10" t="e">
        <f>E21/G21</f>
        <v>#DIV/0!</v>
      </c>
    </row>
    <row r="22" spans="2:16" ht="17.100000000000001" hidden="1" customHeight="1" x14ac:dyDescent="0.2">
      <c r="B22" s="4" t="s">
        <v>29</v>
      </c>
      <c r="C22" s="4"/>
      <c r="D22" s="55"/>
      <c r="H22" s="109">
        <f>E21-(G21+H21)*10</f>
        <v>0</v>
      </c>
      <c r="I22" s="107">
        <f>I21*10/1000</f>
        <v>0</v>
      </c>
      <c r="J22" s="1"/>
    </row>
    <row r="23" spans="2:16" ht="15.6" hidden="1" customHeight="1" x14ac:dyDescent="0.2">
      <c r="B23" s="4"/>
      <c r="C23" s="4"/>
      <c r="D23" s="55"/>
      <c r="H23" s="110" t="s">
        <v>30</v>
      </c>
      <c r="I23" s="110" t="s">
        <v>31</v>
      </c>
      <c r="J23" s="1"/>
    </row>
    <row r="24" spans="2:16" ht="14.85" hidden="1" customHeight="1" x14ac:dyDescent="0.2">
      <c r="D24" s="53"/>
      <c r="H24" s="109" t="e">
        <f>H22/I22</f>
        <v>#DIV/0!</v>
      </c>
      <c r="I24" s="108"/>
      <c r="J24" s="1"/>
    </row>
    <row r="25" spans="2:16" ht="13.35" hidden="1" customHeight="1" x14ac:dyDescent="0.25">
      <c r="D25" s="53"/>
      <c r="H25" s="106" t="s">
        <v>32</v>
      </c>
      <c r="I25" s="108"/>
      <c r="J25" s="1"/>
    </row>
    <row r="26" spans="2:16" x14ac:dyDescent="0.2">
      <c r="I26" s="111"/>
    </row>
    <row r="27" spans="2:16" x14ac:dyDescent="0.2">
      <c r="D27" s="53"/>
      <c r="I27" s="108"/>
      <c r="J27" s="1"/>
    </row>
    <row r="28" spans="2:16" x14ac:dyDescent="0.2">
      <c r="B28" s="3" t="s">
        <v>233</v>
      </c>
      <c r="C28" s="3"/>
      <c r="D28" s="53"/>
      <c r="I28" s="108"/>
      <c r="J28" s="1"/>
    </row>
    <row r="29" spans="2:16" ht="15" x14ac:dyDescent="0.25">
      <c r="B29" s="11" t="str">
        <f>IFERROR((IF(Electricity_consumption!H13&gt;0.1,"Estimated electricity consumption not close to bills, check electricity consumption inputs","")),"")</f>
        <v/>
      </c>
      <c r="C29" s="11"/>
      <c r="G29" s="106"/>
      <c r="H29" s="106"/>
      <c r="J29" s="1"/>
      <c r="K29" s="4"/>
      <c r="L29" s="2"/>
      <c r="M29" s="2"/>
      <c r="N29" s="2"/>
      <c r="P29" s="2"/>
    </row>
    <row r="30" spans="2:16" ht="14.25" x14ac:dyDescent="0.25">
      <c r="B30" s="160" t="s">
        <v>234</v>
      </c>
      <c r="C30" s="161">
        <f>IFERROR(I21,0)</f>
        <v>0</v>
      </c>
      <c r="D30" s="55"/>
      <c r="J30" s="1"/>
    </row>
    <row r="31" spans="2:16" x14ac:dyDescent="0.2">
      <c r="B31" s="160" t="s">
        <v>235</v>
      </c>
      <c r="C31" s="161">
        <f>G7-C30</f>
        <v>0</v>
      </c>
      <c r="D31" s="55"/>
      <c r="J31" s="1"/>
    </row>
    <row r="32" spans="2:16" x14ac:dyDescent="0.2">
      <c r="B32" s="147" t="s">
        <v>33</v>
      </c>
      <c r="C32" s="162">
        <f>IFERROR((G21+H21),0)</f>
        <v>0</v>
      </c>
      <c r="I32" s="108"/>
      <c r="J32" s="1"/>
    </row>
    <row r="33" spans="2:11" ht="14.25" x14ac:dyDescent="0.25">
      <c r="B33" s="160" t="s">
        <v>34</v>
      </c>
      <c r="C33" s="162">
        <f>IF(C30&gt;0,(E21-C32)/(C30/1000),0)</f>
        <v>0</v>
      </c>
      <c r="D33" s="55"/>
      <c r="E33" s="106"/>
      <c r="J33" s="1"/>
    </row>
    <row r="34" spans="2:11" x14ac:dyDescent="0.2">
      <c r="B34" s="163" t="s">
        <v>236</v>
      </c>
      <c r="C34" s="164">
        <f>IF(C32=0,0,E21/C32)</f>
        <v>0</v>
      </c>
      <c r="D34" s="55"/>
      <c r="E34" s="106"/>
      <c r="J34" s="1"/>
    </row>
    <row r="35" spans="2:11" x14ac:dyDescent="0.2">
      <c r="B35" s="165"/>
      <c r="C35" s="167"/>
      <c r="D35" s="55"/>
      <c r="I35" s="108"/>
      <c r="J35" s="1"/>
    </row>
    <row r="36" spans="2:11" x14ac:dyDescent="0.2">
      <c r="B36" s="147" t="s">
        <v>35</v>
      </c>
      <c r="C36" s="166"/>
      <c r="D36" s="52" t="b">
        <v>0</v>
      </c>
      <c r="E36" s="109"/>
      <c r="F36" s="110"/>
      <c r="G36" s="110"/>
      <c r="H36" s="106"/>
      <c r="I36" s="106"/>
    </row>
    <row r="37" spans="2:11" x14ac:dyDescent="0.2">
      <c r="B37" s="4"/>
      <c r="C37" s="4"/>
      <c r="D37" s="55"/>
      <c r="I37" s="108"/>
      <c r="J37" s="1"/>
    </row>
    <row r="38" spans="2:11" x14ac:dyDescent="0.2">
      <c r="B38" s="12"/>
      <c r="C38" s="12"/>
      <c r="D38" s="56"/>
      <c r="J38" s="1"/>
    </row>
    <row r="39" spans="2:11" x14ac:dyDescent="0.2">
      <c r="B39" s="4"/>
      <c r="C39" s="4"/>
      <c r="D39" s="55"/>
      <c r="I39" s="108"/>
      <c r="J39" s="1"/>
    </row>
    <row r="40" spans="2:11" x14ac:dyDescent="0.2">
      <c r="B40" s="4"/>
      <c r="C40" s="4"/>
      <c r="D40" s="55"/>
    </row>
    <row r="41" spans="2:11" x14ac:dyDescent="0.2">
      <c r="B41" s="13"/>
      <c r="C41" s="13"/>
      <c r="D41" s="57"/>
      <c r="G41" s="112"/>
      <c r="I41" s="106"/>
      <c r="J41" s="1"/>
    </row>
    <row r="42" spans="2:11" x14ac:dyDescent="0.2">
      <c r="B42" s="13"/>
      <c r="C42" s="13"/>
      <c r="D42" s="57"/>
      <c r="J42" s="5"/>
    </row>
    <row r="43" spans="2:11" x14ac:dyDescent="0.2">
      <c r="K43" s="6"/>
    </row>
    <row r="44" spans="2:11" x14ac:dyDescent="0.2">
      <c r="K44" s="6"/>
    </row>
  </sheetData>
  <sheetProtection sheet="1" selectLockedCells="1"/>
  <dataValidations count="2">
    <dataValidation type="list" operator="equal" allowBlank="1" sqref="D14:D17 D19" xr:uid="{00000000-0002-0000-0000-000000000000}">
      <formula1>"True,False"</formula1>
      <formula2>0</formula2>
    </dataValidation>
    <dataValidation operator="equal" allowBlank="1" sqref="D18" xr:uid="{1F9CDF4B-65E6-4C75-94CE-550BC28CD64C}"/>
  </dataValidations>
  <pageMargins left="0.78749999999999998" right="0.78749999999999998" top="0.92638888888888893" bottom="0.92638888888888893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Check Box 55">
              <controlPr defaultSize="0" autoFill="0" autoLine="0" autoPict="0">
                <anchor moveWithCells="1">
                  <from>
                    <xdr:col>2</xdr:col>
                    <xdr:colOff>590550</xdr:colOff>
                    <xdr:row>12</xdr:row>
                    <xdr:rowOff>133350</xdr:rowOff>
                  </from>
                  <to>
                    <xdr:col>2</xdr:col>
                    <xdr:colOff>828675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2</xdr:col>
                    <xdr:colOff>590550</xdr:colOff>
                    <xdr:row>13</xdr:row>
                    <xdr:rowOff>133350</xdr:rowOff>
                  </from>
                  <to>
                    <xdr:col>2</xdr:col>
                    <xdr:colOff>828675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2</xdr:col>
                    <xdr:colOff>590550</xdr:colOff>
                    <xdr:row>14</xdr:row>
                    <xdr:rowOff>123825</xdr:rowOff>
                  </from>
                  <to>
                    <xdr:col>2</xdr:col>
                    <xdr:colOff>828675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defaultSize="0" autoFill="0" autoLine="0" autoPict="0">
                <anchor moveWithCells="1">
                  <from>
                    <xdr:col>2</xdr:col>
                    <xdr:colOff>590550</xdr:colOff>
                    <xdr:row>15</xdr:row>
                    <xdr:rowOff>123825</xdr:rowOff>
                  </from>
                  <to>
                    <xdr:col>2</xdr:col>
                    <xdr:colOff>828675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Check Box 60">
              <controlPr defaultSize="0" autoFill="0" autoLine="0" autoPict="0">
                <anchor moveWithCells="1">
                  <from>
                    <xdr:col>2</xdr:col>
                    <xdr:colOff>590550</xdr:colOff>
                    <xdr:row>17</xdr:row>
                    <xdr:rowOff>104775</xdr:rowOff>
                  </from>
                  <to>
                    <xdr:col>2</xdr:col>
                    <xdr:colOff>828675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2</xdr:col>
                    <xdr:colOff>571500</xdr:colOff>
                    <xdr:row>34</xdr:row>
                    <xdr:rowOff>123825</xdr:rowOff>
                  </from>
                  <to>
                    <xdr:col>2</xdr:col>
                    <xdr:colOff>809625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'Look_Up_Tables_-_Heating'!$C$4:$C$11</xm:f>
          </x14:formula1>
          <xm:sqref>C20</xm:sqref>
        </x14:dataValidation>
        <x14:dataValidation type="list" allowBlank="1" showInputMessage="1" showErrorMessage="1" xr:uid="{9045B5A9-18E7-4E8A-9014-B255C2CBCC01}">
          <x14:formula1>
            <xm:f>Heating_Design!$B$39:$B$41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323C-175D-4EDD-8EFD-D9AFB5805981}">
  <sheetPr codeName="Sheet1"/>
  <dimension ref="B2:G55"/>
  <sheetViews>
    <sheetView showGridLines="0" tabSelected="1" zoomScaleNormal="100" workbookViewId="0">
      <selection activeCell="C47" sqref="C47"/>
    </sheetView>
  </sheetViews>
  <sheetFormatPr defaultColWidth="9.140625" defaultRowHeight="12.75" x14ac:dyDescent="0.2"/>
  <cols>
    <col min="1" max="1" width="5.5703125" style="82" customWidth="1"/>
    <col min="2" max="2" width="26.5703125" style="82" bestFit="1" customWidth="1"/>
    <col min="3" max="3" width="18.140625" style="82" bestFit="1" customWidth="1"/>
    <col min="4" max="4" width="14.140625" style="82" customWidth="1"/>
    <col min="5" max="5" width="20.140625" style="82" bestFit="1" customWidth="1"/>
    <col min="6" max="6" width="21" style="82" bestFit="1" customWidth="1"/>
    <col min="7" max="7" width="21.140625" style="82" bestFit="1" customWidth="1"/>
    <col min="8" max="16384" width="9.140625" style="82"/>
  </cols>
  <sheetData>
    <row r="2" spans="2:6" x14ac:dyDescent="0.2">
      <c r="B2" s="83" t="s">
        <v>241</v>
      </c>
      <c r="C2" s="115"/>
    </row>
    <row r="3" spans="2:6" x14ac:dyDescent="0.2">
      <c r="B3" s="132" t="s">
        <v>242</v>
      </c>
      <c r="C3" s="86" t="s">
        <v>224</v>
      </c>
    </row>
    <row r="4" spans="2:6" x14ac:dyDescent="0.2">
      <c r="B4" s="132" t="s">
        <v>243</v>
      </c>
      <c r="C4" s="94">
        <v>0</v>
      </c>
      <c r="D4" s="82" t="s">
        <v>51</v>
      </c>
    </row>
    <row r="5" spans="2:6" x14ac:dyDescent="0.2">
      <c r="B5" s="132" t="s">
        <v>292</v>
      </c>
      <c r="C5" s="143">
        <f>Inputs!C4</f>
        <v>0</v>
      </c>
      <c r="D5" s="140" t="s">
        <v>51</v>
      </c>
    </row>
    <row r="6" spans="2:6" x14ac:dyDescent="0.2">
      <c r="C6" s="141"/>
    </row>
    <row r="7" spans="2:6" x14ac:dyDescent="0.2">
      <c r="B7" s="84" t="s">
        <v>253</v>
      </c>
      <c r="C7" s="115"/>
    </row>
    <row r="8" spans="2:6" x14ac:dyDescent="0.2">
      <c r="B8" s="132" t="s">
        <v>250</v>
      </c>
      <c r="C8" s="95">
        <v>0</v>
      </c>
      <c r="D8" s="82" t="s">
        <v>150</v>
      </c>
    </row>
    <row r="9" spans="2:6" x14ac:dyDescent="0.2">
      <c r="B9" s="132" t="s">
        <v>291</v>
      </c>
      <c r="C9" s="142">
        <f>Inputs!C7</f>
        <v>0</v>
      </c>
      <c r="D9" s="140"/>
    </row>
    <row r="10" spans="2:6" x14ac:dyDescent="0.2">
      <c r="B10" s="132" t="s">
        <v>248</v>
      </c>
      <c r="C10" s="96">
        <v>0</v>
      </c>
      <c r="D10" s="82" t="s">
        <v>290</v>
      </c>
    </row>
    <row r="11" spans="2:6" x14ac:dyDescent="0.2">
      <c r="B11" s="132" t="s">
        <v>249</v>
      </c>
      <c r="C11" s="97">
        <v>0</v>
      </c>
      <c r="D11" s="82" t="s">
        <v>245</v>
      </c>
    </row>
    <row r="12" spans="2:6" x14ac:dyDescent="0.2">
      <c r="C12" s="115"/>
    </row>
    <row r="13" spans="2:6" x14ac:dyDescent="0.2">
      <c r="B13" s="84" t="s">
        <v>246</v>
      </c>
      <c r="C13" s="115"/>
    </row>
    <row r="14" spans="2:6" x14ac:dyDescent="0.2">
      <c r="B14" s="132" t="s">
        <v>247</v>
      </c>
      <c r="C14" s="85"/>
    </row>
    <row r="15" spans="2:6" x14ac:dyDescent="0.2">
      <c r="C15" s="116"/>
    </row>
    <row r="16" spans="2:6" x14ac:dyDescent="0.2">
      <c r="C16" s="115" t="s">
        <v>251</v>
      </c>
      <c r="E16" s="88"/>
      <c r="F16" s="88"/>
    </row>
    <row r="17" spans="2:6" x14ac:dyDescent="0.2">
      <c r="B17" s="132" t="s">
        <v>250</v>
      </c>
      <c r="C17" s="95">
        <v>0</v>
      </c>
      <c r="E17" s="89"/>
      <c r="F17" s="88"/>
    </row>
    <row r="18" spans="2:6" x14ac:dyDescent="0.2">
      <c r="B18" s="132" t="s">
        <v>248</v>
      </c>
      <c r="C18" s="96">
        <v>0</v>
      </c>
      <c r="D18" s="82" t="s">
        <v>244</v>
      </c>
      <c r="E18" s="90"/>
      <c r="F18" s="88"/>
    </row>
    <row r="19" spans="2:6" x14ac:dyDescent="0.2">
      <c r="B19" s="132" t="s">
        <v>249</v>
      </c>
      <c r="C19" s="97">
        <v>0</v>
      </c>
      <c r="D19" s="82" t="s">
        <v>245</v>
      </c>
      <c r="E19" s="90"/>
      <c r="F19" s="88"/>
    </row>
    <row r="20" spans="2:6" x14ac:dyDescent="0.2">
      <c r="C20" s="115" t="s">
        <v>252</v>
      </c>
      <c r="E20" s="90"/>
      <c r="F20" s="88"/>
    </row>
    <row r="21" spans="2:6" x14ac:dyDescent="0.2">
      <c r="B21" s="132" t="s">
        <v>250</v>
      </c>
      <c r="C21" s="95">
        <v>0</v>
      </c>
      <c r="E21" s="90"/>
      <c r="F21" s="88"/>
    </row>
    <row r="22" spans="2:6" x14ac:dyDescent="0.2">
      <c r="B22" s="132" t="s">
        <v>248</v>
      </c>
      <c r="C22" s="96">
        <v>0</v>
      </c>
      <c r="D22" s="82" t="s">
        <v>244</v>
      </c>
      <c r="E22" s="90"/>
      <c r="F22" s="88"/>
    </row>
    <row r="23" spans="2:6" x14ac:dyDescent="0.2">
      <c r="B23" s="132" t="s">
        <v>249</v>
      </c>
      <c r="C23" s="97">
        <v>0</v>
      </c>
      <c r="D23" s="82" t="s">
        <v>245</v>
      </c>
    </row>
    <row r="24" spans="2:6" x14ac:dyDescent="0.2">
      <c r="C24" s="116"/>
    </row>
    <row r="25" spans="2:6" x14ac:dyDescent="0.2">
      <c r="B25" s="84" t="s">
        <v>258</v>
      </c>
      <c r="C25" s="115"/>
    </row>
    <row r="26" spans="2:6" x14ac:dyDescent="0.2">
      <c r="B26" s="132" t="s">
        <v>255</v>
      </c>
      <c r="C26" s="133">
        <v>0</v>
      </c>
      <c r="D26" s="82" t="s">
        <v>264</v>
      </c>
    </row>
    <row r="27" spans="2:6" x14ac:dyDescent="0.2">
      <c r="B27" s="132" t="s">
        <v>256</v>
      </c>
      <c r="C27" s="133">
        <v>0</v>
      </c>
      <c r="D27" s="82" t="s">
        <v>264</v>
      </c>
    </row>
    <row r="28" spans="2:6" x14ac:dyDescent="0.2">
      <c r="B28" s="132" t="s">
        <v>257</v>
      </c>
      <c r="C28" s="133">
        <v>0</v>
      </c>
      <c r="D28" s="82" t="s">
        <v>264</v>
      </c>
    </row>
    <row r="29" spans="2:6" x14ac:dyDescent="0.2">
      <c r="B29" s="132" t="s">
        <v>254</v>
      </c>
      <c r="C29" s="134">
        <v>3</v>
      </c>
      <c r="D29" s="82" t="s">
        <v>265</v>
      </c>
    </row>
    <row r="30" spans="2:6" x14ac:dyDescent="0.2">
      <c r="C30" s="117"/>
    </row>
    <row r="31" spans="2:6" x14ac:dyDescent="0.2">
      <c r="B31" s="84" t="s">
        <v>281</v>
      </c>
      <c r="C31" s="117"/>
    </row>
    <row r="32" spans="2:6" ht="15" x14ac:dyDescent="0.2">
      <c r="B32" s="132" t="s">
        <v>282</v>
      </c>
      <c r="C32" s="133">
        <v>2.1</v>
      </c>
      <c r="D32" s="69" t="s">
        <v>239</v>
      </c>
    </row>
    <row r="33" spans="2:7" ht="15" x14ac:dyDescent="0.2">
      <c r="B33" s="132" t="s">
        <v>283</v>
      </c>
      <c r="C33" s="133">
        <v>1.1000000000000001</v>
      </c>
      <c r="D33" s="69" t="s">
        <v>239</v>
      </c>
    </row>
    <row r="34" spans="2:7" x14ac:dyDescent="0.2">
      <c r="C34" s="115"/>
    </row>
    <row r="35" spans="2:7" x14ac:dyDescent="0.2">
      <c r="B35" s="84" t="s">
        <v>259</v>
      </c>
      <c r="C35" s="115"/>
    </row>
    <row r="36" spans="2:7" ht="25.5" customHeight="1" x14ac:dyDescent="0.2">
      <c r="B36" s="84"/>
      <c r="C36" s="123" t="s">
        <v>267</v>
      </c>
      <c r="D36" s="124" t="s">
        <v>266</v>
      </c>
      <c r="E36" s="124" t="s">
        <v>263</v>
      </c>
      <c r="F36" s="124" t="s">
        <v>268</v>
      </c>
      <c r="G36" s="124" t="s">
        <v>269</v>
      </c>
    </row>
    <row r="37" spans="2:7" x14ac:dyDescent="0.2">
      <c r="B37" s="132" t="s">
        <v>260</v>
      </c>
      <c r="C37" s="125"/>
      <c r="D37" s="101"/>
      <c r="E37" s="101"/>
      <c r="F37" s="101"/>
      <c r="G37" s="126"/>
    </row>
    <row r="38" spans="2:7" x14ac:dyDescent="0.2">
      <c r="B38" s="132" t="s">
        <v>261</v>
      </c>
      <c r="C38" s="127"/>
      <c r="D38" s="98"/>
      <c r="E38" s="101"/>
      <c r="F38" s="101"/>
      <c r="G38" s="126"/>
    </row>
    <row r="39" spans="2:7" x14ac:dyDescent="0.2">
      <c r="B39" s="132" t="s">
        <v>262</v>
      </c>
      <c r="C39" s="127"/>
      <c r="D39" s="98"/>
      <c r="E39" s="101"/>
      <c r="F39" s="101"/>
      <c r="G39" s="126"/>
    </row>
    <row r="40" spans="2:7" x14ac:dyDescent="0.2">
      <c r="B40" s="132" t="s">
        <v>271</v>
      </c>
      <c r="C40" s="129"/>
      <c r="D40" s="130"/>
      <c r="E40" s="130"/>
      <c r="F40" s="130"/>
      <c r="G40" s="131"/>
    </row>
    <row r="42" spans="2:7" x14ac:dyDescent="0.2">
      <c r="B42" s="132" t="s">
        <v>270</v>
      </c>
      <c r="C42" s="91" t="s">
        <v>79</v>
      </c>
    </row>
    <row r="44" spans="2:7" x14ac:dyDescent="0.2">
      <c r="B44" s="84" t="s">
        <v>272</v>
      </c>
    </row>
    <row r="45" spans="2:7" x14ac:dyDescent="0.2">
      <c r="B45" s="84"/>
      <c r="C45" s="132"/>
      <c r="D45" s="132"/>
      <c r="E45" s="169" t="s">
        <v>287</v>
      </c>
      <c r="F45" s="169"/>
    </row>
    <row r="46" spans="2:7" x14ac:dyDescent="0.2">
      <c r="B46" s="84"/>
      <c r="C46" s="132" t="s">
        <v>276</v>
      </c>
      <c r="D46" s="132" t="s">
        <v>277</v>
      </c>
      <c r="E46" s="132" t="s">
        <v>288</v>
      </c>
      <c r="F46" s="132" t="s">
        <v>289</v>
      </c>
    </row>
    <row r="47" spans="2:7" x14ac:dyDescent="0.2">
      <c r="B47" s="132" t="s">
        <v>273</v>
      </c>
      <c r="C47" s="125"/>
      <c r="D47" s="101"/>
      <c r="E47" s="101"/>
      <c r="F47" s="126"/>
    </row>
    <row r="48" spans="2:7" x14ac:dyDescent="0.2">
      <c r="B48" s="132" t="s">
        <v>274</v>
      </c>
      <c r="C48" s="127"/>
      <c r="D48" s="98"/>
      <c r="E48" s="98"/>
      <c r="F48" s="128"/>
    </row>
    <row r="49" spans="2:6" x14ac:dyDescent="0.2">
      <c r="B49" s="132" t="s">
        <v>294</v>
      </c>
      <c r="C49" s="127"/>
      <c r="D49" s="98"/>
      <c r="E49" s="98"/>
      <c r="F49" s="128"/>
    </row>
    <row r="50" spans="2:6" x14ac:dyDescent="0.2">
      <c r="B50" s="132" t="s">
        <v>275</v>
      </c>
      <c r="C50" s="127"/>
      <c r="D50" s="98"/>
      <c r="E50" s="98"/>
      <c r="F50" s="128"/>
    </row>
    <row r="51" spans="2:6" x14ac:dyDescent="0.2">
      <c r="B51" s="132" t="s">
        <v>271</v>
      </c>
      <c r="C51" s="127"/>
      <c r="D51" s="98"/>
      <c r="E51" s="98"/>
      <c r="F51" s="128"/>
    </row>
    <row r="52" spans="2:6" x14ac:dyDescent="0.2">
      <c r="B52" s="132" t="s">
        <v>278</v>
      </c>
      <c r="C52" s="135"/>
      <c r="D52" s="136"/>
      <c r="E52" s="136"/>
      <c r="F52" s="137"/>
    </row>
    <row r="53" spans="2:6" ht="13.5" thickBot="1" x14ac:dyDescent="0.25"/>
    <row r="54" spans="2:6" x14ac:dyDescent="0.2">
      <c r="B54" s="168" t="s">
        <v>280</v>
      </c>
      <c r="C54" s="168"/>
      <c r="D54" s="138">
        <f>Electricity_consumption!H11</f>
        <v>0</v>
      </c>
      <c r="E54" s="102" t="s">
        <v>217</v>
      </c>
    </row>
    <row r="55" spans="2:6" ht="13.5" thickBot="1" x14ac:dyDescent="0.25">
      <c r="B55" s="168" t="s">
        <v>279</v>
      </c>
      <c r="C55" s="168"/>
      <c r="D55" s="103">
        <f>IFERROR(Electricity_consumption!H12,0)</f>
        <v>0</v>
      </c>
      <c r="E55" s="139" t="s">
        <v>217</v>
      </c>
    </row>
  </sheetData>
  <sheetProtection sheet="1" selectLockedCells="1"/>
  <mergeCells count="3">
    <mergeCell ref="B54:C54"/>
    <mergeCell ref="B55:C55"/>
    <mergeCell ref="E45:F45"/>
  </mergeCells>
  <conditionalFormatting sqref="C4">
    <cfRule type="expression" dxfId="1" priority="3">
      <formula>$C$4&lt;$C$5</formula>
    </cfRule>
  </conditionalFormatting>
  <dataValidations count="1">
    <dataValidation type="list" operator="equal" allowBlank="1" sqref="C42" xr:uid="{E6B449A0-F6D8-4C94-9061-3B75547ECEE2}">
      <formula1>"slate,metal"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2</xdr:col>
                    <xdr:colOff>514350</xdr:colOff>
                    <xdr:row>12</xdr:row>
                    <xdr:rowOff>114300</xdr:rowOff>
                  </from>
                  <to>
                    <xdr:col>2</xdr:col>
                    <xdr:colOff>752475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B4C751-CFC0-428F-8CCA-C973CC9E7A9F}">
            <xm:f>Electricity_consumption!$H$13&gt;0.1</xm:f>
            <x14:dxf>
              <font>
                <color rgb="FFC00000"/>
              </font>
            </x14:dxf>
          </x14:cfRule>
          <xm:sqref>D54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B65D9E-A5B4-488D-82AC-2A88A4C04B81}">
          <x14:formula1>
            <xm:f>'Look_Up_Tables_-_Heating'!$C$4:$C$11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L30"/>
  <sheetViews>
    <sheetView topLeftCell="B1" workbookViewId="0">
      <selection activeCell="E22" sqref="E22"/>
    </sheetView>
  </sheetViews>
  <sheetFormatPr defaultColWidth="11.7109375" defaultRowHeight="12.75" x14ac:dyDescent="0.2"/>
  <cols>
    <col min="1" max="1" width="11.7109375" style="69"/>
    <col min="2" max="2" width="23.28515625" style="69" customWidth="1"/>
    <col min="3" max="3" width="14.5703125" style="69" customWidth="1"/>
    <col min="4" max="4" width="14.42578125" style="69" customWidth="1"/>
    <col min="5" max="5" width="11.7109375" style="69"/>
    <col min="6" max="6" width="19.85546875" style="69" customWidth="1"/>
    <col min="7" max="7" width="11.7109375" style="69"/>
    <col min="8" max="8" width="19.28515625" style="69" customWidth="1"/>
    <col min="9" max="10" width="11.7109375" style="69"/>
    <col min="11" max="11" width="12.7109375" style="69" bestFit="1" customWidth="1"/>
    <col min="12" max="12" width="14.42578125" style="69" customWidth="1"/>
    <col min="13" max="16384" width="11.7109375" style="69"/>
  </cols>
  <sheetData>
    <row r="2" spans="2:10" x14ac:dyDescent="0.2">
      <c r="B2" s="67" t="s">
        <v>36</v>
      </c>
      <c r="C2" s="68" t="str">
        <f>'Client Input'!C3</f>
        <v>None</v>
      </c>
      <c r="F2" s="67" t="s">
        <v>38</v>
      </c>
    </row>
    <row r="3" spans="2:10" x14ac:dyDescent="0.2">
      <c r="B3" s="69" t="s">
        <v>39</v>
      </c>
      <c r="C3" s="70">
        <f>'Client Input'!C4</f>
        <v>0</v>
      </c>
      <c r="G3" s="67" t="s">
        <v>40</v>
      </c>
      <c r="H3" s="69" t="s">
        <v>41</v>
      </c>
      <c r="I3" s="71">
        <v>19</v>
      </c>
      <c r="J3" s="69" t="s">
        <v>42</v>
      </c>
    </row>
    <row r="4" spans="2:10" x14ac:dyDescent="0.2">
      <c r="B4" s="69" t="s">
        <v>43</v>
      </c>
      <c r="C4" s="72">
        <f>(I7+I10)*1.1</f>
        <v>0</v>
      </c>
      <c r="H4" s="69" t="s">
        <v>44</v>
      </c>
      <c r="I4" s="113">
        <f>'Client Input'!C26</f>
        <v>0</v>
      </c>
      <c r="J4" s="69" t="s">
        <v>45</v>
      </c>
    </row>
    <row r="5" spans="2:10" x14ac:dyDescent="0.2">
      <c r="B5" s="67"/>
      <c r="H5" s="69" t="s">
        <v>46</v>
      </c>
      <c r="I5" s="113">
        <f>'Client Input'!C27</f>
        <v>0</v>
      </c>
      <c r="J5" s="69" t="s">
        <v>45</v>
      </c>
    </row>
    <row r="6" spans="2:10" x14ac:dyDescent="0.2">
      <c r="B6" s="67" t="s">
        <v>47</v>
      </c>
      <c r="C6" s="72" t="str">
        <f>C2</f>
        <v>None</v>
      </c>
      <c r="H6" s="69" t="s">
        <v>48</v>
      </c>
      <c r="I6" s="113">
        <f>'Client Input'!C28</f>
        <v>0</v>
      </c>
      <c r="J6" s="69" t="s">
        <v>45</v>
      </c>
    </row>
    <row r="7" spans="2:10" x14ac:dyDescent="0.2">
      <c r="B7" s="69" t="s">
        <v>49</v>
      </c>
      <c r="C7" s="69">
        <f>'Look_Up_Tables_-_Heating'!H14</f>
        <v>0</v>
      </c>
      <c r="H7" s="69" t="s">
        <v>50</v>
      </c>
      <c r="I7" s="71">
        <f>(Heating_Design!C14+Heating_Design!C15+Heating_Design!C16)*I12*I3/1000</f>
        <v>0</v>
      </c>
      <c r="J7" s="69" t="s">
        <v>51</v>
      </c>
    </row>
    <row r="8" spans="2:10" ht="15" x14ac:dyDescent="0.2">
      <c r="B8" s="69" t="s">
        <v>52</v>
      </c>
      <c r="C8" s="80">
        <f>'Client Input'!C8</f>
        <v>0</v>
      </c>
      <c r="H8" s="69" t="s">
        <v>53</v>
      </c>
      <c r="I8" s="71">
        <f>IF(Summary!D14,I4*I5*I6/2,I4*I5*I6)</f>
        <v>0</v>
      </c>
      <c r="J8" s="69" t="s">
        <v>238</v>
      </c>
    </row>
    <row r="9" spans="2:10" x14ac:dyDescent="0.2">
      <c r="B9" s="71" t="s">
        <v>54</v>
      </c>
      <c r="C9" s="81">
        <f>'Client Input'!C10/100</f>
        <v>0</v>
      </c>
      <c r="H9" s="69" t="s">
        <v>55</v>
      </c>
      <c r="I9" s="104">
        <f>'Client Input'!C29</f>
        <v>3</v>
      </c>
    </row>
    <row r="10" spans="2:10" x14ac:dyDescent="0.2">
      <c r="B10" s="71" t="s">
        <v>56</v>
      </c>
      <c r="C10" s="81">
        <f>'Client Input'!C11/100</f>
        <v>0</v>
      </c>
      <c r="H10" s="69" t="s">
        <v>57</v>
      </c>
      <c r="I10" s="71">
        <f>I8*I9*0.36*I3/1000</f>
        <v>0</v>
      </c>
      <c r="J10" s="69" t="s">
        <v>51</v>
      </c>
    </row>
    <row r="11" spans="2:10" x14ac:dyDescent="0.2">
      <c r="B11" s="71" t="s">
        <v>58</v>
      </c>
      <c r="C11" s="73" t="e">
        <f>C9/'Look_Up_Tables_-_Heating'!I14</f>
        <v>#DIV/0!</v>
      </c>
    </row>
    <row r="12" spans="2:10" ht="15" x14ac:dyDescent="0.2">
      <c r="B12" s="71" t="s">
        <v>59</v>
      </c>
      <c r="C12" s="74" t="e">
        <f>(C8-(365*C10))/C11</f>
        <v>#DIV/0!</v>
      </c>
      <c r="G12" s="67" t="s">
        <v>60</v>
      </c>
      <c r="H12" s="69" t="s">
        <v>61</v>
      </c>
      <c r="I12" s="104">
        <f>'Client Input'!C32</f>
        <v>2.1</v>
      </c>
      <c r="J12" s="69" t="s">
        <v>239</v>
      </c>
    </row>
    <row r="13" spans="2:10" ht="15" x14ac:dyDescent="0.2">
      <c r="B13" s="71"/>
      <c r="C13" s="72"/>
      <c r="H13" s="69" t="s">
        <v>62</v>
      </c>
      <c r="I13" s="104">
        <f>'Client Input'!C33</f>
        <v>1.1000000000000001</v>
      </c>
      <c r="J13" s="69" t="s">
        <v>239</v>
      </c>
    </row>
    <row r="14" spans="2:10" x14ac:dyDescent="0.2">
      <c r="I14" s="75"/>
    </row>
    <row r="15" spans="2:10" x14ac:dyDescent="0.2">
      <c r="I15" s="71"/>
    </row>
    <row r="16" spans="2:10" x14ac:dyDescent="0.2">
      <c r="B16" s="76" t="s">
        <v>63</v>
      </c>
      <c r="C16" s="77"/>
      <c r="D16" s="77"/>
      <c r="F16" s="67" t="s">
        <v>64</v>
      </c>
    </row>
    <row r="17" spans="2:12" x14ac:dyDescent="0.2">
      <c r="B17" s="69" t="s">
        <v>65</v>
      </c>
      <c r="C17" s="78" t="b">
        <v>0</v>
      </c>
      <c r="G17" s="67" t="s">
        <v>66</v>
      </c>
      <c r="H17" s="67" t="s">
        <v>48</v>
      </c>
      <c r="I17" s="67" t="s">
        <v>44</v>
      </c>
      <c r="J17" s="76" t="s">
        <v>67</v>
      </c>
      <c r="K17" s="76" t="s">
        <v>240</v>
      </c>
      <c r="L17" s="67" t="s">
        <v>69</v>
      </c>
    </row>
    <row r="18" spans="2:12" x14ac:dyDescent="0.2">
      <c r="C18" s="71" t="s">
        <v>70</v>
      </c>
      <c r="D18" s="71" t="s">
        <v>71</v>
      </c>
      <c r="E18" s="69" t="s">
        <v>72</v>
      </c>
      <c r="G18" s="68" t="s">
        <v>230</v>
      </c>
      <c r="H18" s="79">
        <f>'Client Input'!C37</f>
        <v>0</v>
      </c>
      <c r="I18" s="79">
        <f>'Client Input'!D37</f>
        <v>0</v>
      </c>
      <c r="J18" s="79">
        <f>'Client Input'!E37</f>
        <v>0</v>
      </c>
      <c r="K18" s="79">
        <f>'Client Input'!F37</f>
        <v>0</v>
      </c>
      <c r="L18" s="79">
        <f>'Client Input'!G37</f>
        <v>0</v>
      </c>
    </row>
    <row r="19" spans="2:12" x14ac:dyDescent="0.2">
      <c r="B19" s="69" t="s">
        <v>52</v>
      </c>
      <c r="C19" s="79">
        <f>'Client Input'!C17</f>
        <v>0</v>
      </c>
      <c r="D19" s="79">
        <f>'Client Input'!C21</f>
        <v>0</v>
      </c>
      <c r="E19" s="71">
        <f>C19+D19</f>
        <v>0</v>
      </c>
      <c r="G19" s="68" t="s">
        <v>231</v>
      </c>
      <c r="H19" s="79">
        <f>'Client Input'!C38</f>
        <v>0</v>
      </c>
      <c r="I19" s="79">
        <f>'Client Input'!D38</f>
        <v>0</v>
      </c>
      <c r="J19" s="79">
        <f>'Client Input'!E38</f>
        <v>0</v>
      </c>
      <c r="K19" s="79">
        <f>'Client Input'!F38</f>
        <v>0</v>
      </c>
      <c r="L19" s="79">
        <f>'Client Input'!G38</f>
        <v>0</v>
      </c>
    </row>
    <row r="20" spans="2:12" x14ac:dyDescent="0.2">
      <c r="B20" s="71" t="s">
        <v>73</v>
      </c>
      <c r="C20" s="87">
        <f>'Client Input'!C18/100</f>
        <v>0</v>
      </c>
      <c r="D20" s="87">
        <f>'Client Input'!C22/100</f>
        <v>0</v>
      </c>
      <c r="E20" s="71" t="s">
        <v>24</v>
      </c>
      <c r="G20" s="68" t="s">
        <v>76</v>
      </c>
      <c r="H20" s="79">
        <f>'Client Input'!C39</f>
        <v>0</v>
      </c>
      <c r="I20" s="79">
        <f>'Client Input'!D39</f>
        <v>0</v>
      </c>
      <c r="J20" s="79">
        <f>'Client Input'!E39</f>
        <v>0</v>
      </c>
      <c r="K20" s="79">
        <f>'Client Input'!F39</f>
        <v>0</v>
      </c>
      <c r="L20" s="79">
        <f>'Client Input'!G39</f>
        <v>0</v>
      </c>
    </row>
    <row r="21" spans="2:12" x14ac:dyDescent="0.2">
      <c r="B21" s="71" t="s">
        <v>74</v>
      </c>
      <c r="C21" s="79">
        <f>'Client Input'!C19/100</f>
        <v>0</v>
      </c>
      <c r="D21" s="79">
        <f>'Client Input'!C23/100</f>
        <v>0</v>
      </c>
      <c r="E21" s="71">
        <f>C21+D21</f>
        <v>0</v>
      </c>
      <c r="G21" s="68" t="s">
        <v>94</v>
      </c>
      <c r="H21" s="79">
        <f>'Client Input'!C41</f>
        <v>0</v>
      </c>
      <c r="I21" s="79">
        <f>'Client Input'!D41</f>
        <v>0</v>
      </c>
      <c r="J21" s="79">
        <f>'Client Input'!E41</f>
        <v>0</v>
      </c>
      <c r="K21" s="79">
        <f>'Client Input'!F41</f>
        <v>0</v>
      </c>
      <c r="L21" s="79">
        <f>'Client Input'!G41</f>
        <v>0</v>
      </c>
    </row>
    <row r="22" spans="2:12" x14ac:dyDescent="0.2">
      <c r="B22" s="71" t="s">
        <v>75</v>
      </c>
      <c r="C22" s="74" t="e">
        <f>(C19-(365*C21))/C20</f>
        <v>#DIV/0!</v>
      </c>
      <c r="D22" s="74">
        <f>IFERROR((D19-(365*D21/100))/D20,0)</f>
        <v>0</v>
      </c>
      <c r="E22" s="74" t="e">
        <f>C22+D22</f>
        <v>#DIV/0!</v>
      </c>
      <c r="G22" s="92"/>
      <c r="H22" s="93"/>
      <c r="I22" s="93"/>
      <c r="J22" s="93"/>
      <c r="K22" s="93"/>
      <c r="L22" s="93"/>
    </row>
    <row r="23" spans="2:12" x14ac:dyDescent="0.2">
      <c r="B23" s="71" t="s">
        <v>77</v>
      </c>
      <c r="C23" s="72" t="e">
        <f>C22/365</f>
        <v>#DIV/0!</v>
      </c>
      <c r="D23" s="72">
        <f>D22/365</f>
        <v>0</v>
      </c>
      <c r="E23" s="72" t="e">
        <f>C23+D23</f>
        <v>#DIV/0!</v>
      </c>
      <c r="G23" s="71" t="s">
        <v>78</v>
      </c>
      <c r="H23" s="79" t="str">
        <f>'Client Input'!C42</f>
        <v>metal</v>
      </c>
    </row>
    <row r="26" spans="2:12" x14ac:dyDescent="0.2">
      <c r="K26" s="71"/>
    </row>
    <row r="30" spans="2:12" x14ac:dyDescent="0.2">
      <c r="C30" s="67"/>
      <c r="E30" s="71"/>
    </row>
  </sheetData>
  <sheetProtection selectLockedCells="1"/>
  <dataValidations disablePrompts="1" count="2">
    <dataValidation type="list" operator="equal" allowBlank="1" sqref="C17" xr:uid="{00000000-0002-0000-0100-000000000000}">
      <formula1>"TRUE,FALSE"</formula1>
      <formula2>0</formula2>
    </dataValidation>
    <dataValidation type="list" operator="equal" allowBlank="1" sqref="H23" xr:uid="{00000000-0002-0000-0100-000001000000}">
      <formula1>"slate,metal"</formula1>
      <formula2>0</formula2>
    </dataValidation>
  </dataValidations>
  <pageMargins left="0.78749999999999998" right="0.78749999999999998" top="0.92638888888888893" bottom="0.92638888888888893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573C250-583E-481A-BF96-1A567B0047B3}">
          <x14:formula1>
            <xm:f>'Look_Up_Tables_-_Heating'!$C$4:$C$11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2:P16"/>
  <sheetViews>
    <sheetView workbookViewId="0">
      <selection activeCell="H17" sqref="H17"/>
    </sheetView>
  </sheetViews>
  <sheetFormatPr defaultColWidth="11.7109375" defaultRowHeight="12.75" x14ac:dyDescent="0.2"/>
  <cols>
    <col min="1" max="1" width="7.28515625" style="14" customWidth="1"/>
    <col min="2" max="2" width="16.85546875" style="14" customWidth="1"/>
    <col min="3" max="16384" width="11.7109375" style="14"/>
  </cols>
  <sheetData>
    <row r="2" spans="2:16" x14ac:dyDescent="0.2">
      <c r="C2" s="15" t="s">
        <v>80</v>
      </c>
      <c r="D2" s="16"/>
      <c r="E2" s="16"/>
      <c r="F2" s="17" t="s">
        <v>81</v>
      </c>
      <c r="G2" s="17" t="s">
        <v>82</v>
      </c>
      <c r="H2" s="16"/>
      <c r="I2" s="15" t="s">
        <v>83</v>
      </c>
      <c r="L2" s="17" t="s">
        <v>81</v>
      </c>
      <c r="M2" s="17" t="s">
        <v>82</v>
      </c>
      <c r="O2" s="15" t="s">
        <v>84</v>
      </c>
    </row>
    <row r="3" spans="2:16" x14ac:dyDescent="0.2">
      <c r="B3" s="15" t="s">
        <v>85</v>
      </c>
      <c r="C3" s="17" t="s">
        <v>86</v>
      </c>
      <c r="D3" s="17" t="s">
        <v>87</v>
      </c>
      <c r="E3" s="17" t="s">
        <v>88</v>
      </c>
      <c r="F3" s="17" t="s">
        <v>89</v>
      </c>
      <c r="G3" s="17" t="s">
        <v>89</v>
      </c>
      <c r="H3" s="17" t="s">
        <v>90</v>
      </c>
      <c r="I3" s="17" t="s">
        <v>86</v>
      </c>
      <c r="J3" s="17" t="s">
        <v>87</v>
      </c>
      <c r="K3" s="17" t="s">
        <v>88</v>
      </c>
      <c r="L3" s="17" t="s">
        <v>89</v>
      </c>
      <c r="M3" s="17" t="s">
        <v>89</v>
      </c>
      <c r="N3" s="17" t="s">
        <v>90</v>
      </c>
      <c r="O3" s="17" t="s">
        <v>90</v>
      </c>
    </row>
    <row r="4" spans="2:16" x14ac:dyDescent="0.2">
      <c r="B4" s="118" t="s">
        <v>91</v>
      </c>
      <c r="C4" s="119">
        <f>'Client Input'!C47</f>
        <v>0</v>
      </c>
      <c r="D4" s="119">
        <f>'Client Input'!D47</f>
        <v>0</v>
      </c>
      <c r="E4" s="120">
        <f>D4*C4/1000</f>
        <v>0</v>
      </c>
      <c r="F4" s="119">
        <f>'Client Input'!E47</f>
        <v>0</v>
      </c>
      <c r="G4" s="119">
        <f>'Client Input'!F47</f>
        <v>0</v>
      </c>
      <c r="H4" s="121">
        <f>(G4+F4)/2*E4*12</f>
        <v>0</v>
      </c>
      <c r="I4" s="120">
        <f>C4/5</f>
        <v>0</v>
      </c>
      <c r="J4" s="120">
        <f>D4</f>
        <v>0</v>
      </c>
      <c r="K4" s="122">
        <f>J4*I4/1000</f>
        <v>0</v>
      </c>
      <c r="L4" s="119">
        <f>F4</f>
        <v>0</v>
      </c>
      <c r="M4" s="119">
        <f>G4</f>
        <v>0</v>
      </c>
      <c r="N4" s="121">
        <f>(M4+L4)/2*K4*12</f>
        <v>0</v>
      </c>
      <c r="O4" s="121">
        <f>H4-N4</f>
        <v>0</v>
      </c>
    </row>
    <row r="5" spans="2:16" x14ac:dyDescent="0.2">
      <c r="B5" s="118" t="s">
        <v>92</v>
      </c>
      <c r="C5" s="119">
        <f>'Client Input'!C48</f>
        <v>0</v>
      </c>
      <c r="D5" s="119">
        <f>'Client Input'!D48</f>
        <v>0</v>
      </c>
      <c r="E5" s="120">
        <f t="shared" ref="E5:E8" si="0">D5*C5/1000</f>
        <v>0</v>
      </c>
      <c r="F5" s="119">
        <f>'Client Input'!E48</f>
        <v>0</v>
      </c>
      <c r="G5" s="119">
        <f>'Client Input'!F48</f>
        <v>0</v>
      </c>
      <c r="H5" s="121">
        <f t="shared" ref="H5:H8" si="1">(G5+F5)/2*E5*12</f>
        <v>0</v>
      </c>
      <c r="I5" s="120">
        <f>C5/5</f>
        <v>0</v>
      </c>
      <c r="J5" s="120">
        <f>D5</f>
        <v>0</v>
      </c>
      <c r="K5" s="122">
        <f>J5*I5/1000</f>
        <v>0</v>
      </c>
      <c r="L5" s="119">
        <f t="shared" ref="L5:L7" si="2">F5</f>
        <v>0</v>
      </c>
      <c r="M5" s="119">
        <f t="shared" ref="M5:M7" si="3">G5</f>
        <v>0</v>
      </c>
      <c r="N5" s="121">
        <f>(M5+L5)/2*K5*12</f>
        <v>0</v>
      </c>
      <c r="O5" s="121">
        <f>H5-N5</f>
        <v>0</v>
      </c>
    </row>
    <row r="6" spans="2:16" x14ac:dyDescent="0.2">
      <c r="B6" s="118" t="s">
        <v>293</v>
      </c>
      <c r="C6" s="119">
        <f>'Client Input'!C49</f>
        <v>0</v>
      </c>
      <c r="D6" s="119">
        <f>'Client Input'!D49</f>
        <v>0</v>
      </c>
      <c r="E6" s="120">
        <f t="shared" si="0"/>
        <v>0</v>
      </c>
      <c r="F6" s="119">
        <f>'Client Input'!E49</f>
        <v>0</v>
      </c>
      <c r="G6" s="119">
        <f>'Client Input'!F49</f>
        <v>0</v>
      </c>
      <c r="H6" s="121">
        <f t="shared" si="1"/>
        <v>0</v>
      </c>
      <c r="I6" s="120">
        <f>C6/5</f>
        <v>0</v>
      </c>
      <c r="J6" s="120">
        <f>D6</f>
        <v>0</v>
      </c>
      <c r="K6" s="122">
        <f>J6*I6/1000</f>
        <v>0</v>
      </c>
      <c r="L6" s="119">
        <f t="shared" si="2"/>
        <v>0</v>
      </c>
      <c r="M6" s="119">
        <f t="shared" si="3"/>
        <v>0</v>
      </c>
      <c r="N6" s="121">
        <f>(M6+L6)/2*K6*12</f>
        <v>0</v>
      </c>
      <c r="O6" s="121">
        <f>H6-N6</f>
        <v>0</v>
      </c>
    </row>
    <row r="7" spans="2:16" x14ac:dyDescent="0.2">
      <c r="B7" s="18" t="s">
        <v>93</v>
      </c>
      <c r="C7" s="19">
        <f>'Client Input'!C50</f>
        <v>0</v>
      </c>
      <c r="D7" s="19">
        <f>'Client Input'!D50</f>
        <v>0</v>
      </c>
      <c r="E7" s="16">
        <f t="shared" si="0"/>
        <v>0</v>
      </c>
      <c r="F7" s="19">
        <f>'Client Input'!E50</f>
        <v>0</v>
      </c>
      <c r="G7" s="19">
        <f>'Client Input'!F50</f>
        <v>0</v>
      </c>
      <c r="H7" s="20">
        <f t="shared" si="1"/>
        <v>0</v>
      </c>
      <c r="I7" s="16">
        <f>C7</f>
        <v>0</v>
      </c>
      <c r="J7" s="16">
        <f>D7</f>
        <v>0</v>
      </c>
      <c r="K7" s="16">
        <f>E7</f>
        <v>0</v>
      </c>
      <c r="L7" s="19">
        <f t="shared" si="2"/>
        <v>0</v>
      </c>
      <c r="M7" s="19">
        <f t="shared" si="3"/>
        <v>0</v>
      </c>
      <c r="N7" s="16">
        <f t="shared" ref="N7" si="4">H7</f>
        <v>0</v>
      </c>
      <c r="O7" s="20">
        <f>H7-N7</f>
        <v>0</v>
      </c>
    </row>
    <row r="8" spans="2:16" x14ac:dyDescent="0.2">
      <c r="B8" s="14" t="s">
        <v>94</v>
      </c>
      <c r="C8" s="19">
        <f>'Client Input'!C51</f>
        <v>0</v>
      </c>
      <c r="D8" s="19">
        <f>'Client Input'!D51</f>
        <v>0</v>
      </c>
      <c r="E8" s="16">
        <f t="shared" si="0"/>
        <v>0</v>
      </c>
      <c r="F8" s="19">
        <f>'Client Input'!E51</f>
        <v>0</v>
      </c>
      <c r="G8" s="19">
        <f>'Client Input'!F51</f>
        <v>0</v>
      </c>
      <c r="H8" s="20">
        <f t="shared" si="1"/>
        <v>0</v>
      </c>
      <c r="I8" s="16">
        <f>C8</f>
        <v>0</v>
      </c>
      <c r="J8" s="16">
        <f>D8</f>
        <v>0</v>
      </c>
      <c r="K8" s="16">
        <f>E8</f>
        <v>0</v>
      </c>
      <c r="L8" s="19">
        <f t="shared" ref="L8" si="5">F8</f>
        <v>0</v>
      </c>
      <c r="M8" s="19">
        <f t="shared" ref="M8" si="6">G8</f>
        <v>0</v>
      </c>
      <c r="N8" s="16">
        <f t="shared" ref="N8" si="7">H8</f>
        <v>0</v>
      </c>
      <c r="O8" s="20">
        <f>H8-N8</f>
        <v>0</v>
      </c>
    </row>
    <row r="9" spans="2:16" x14ac:dyDescent="0.2">
      <c r="B9" s="15" t="s">
        <v>4</v>
      </c>
      <c r="C9" s="16"/>
      <c r="E9" s="22">
        <f>SUM(E4:E7)</f>
        <v>0</v>
      </c>
      <c r="F9" s="22"/>
      <c r="G9" s="22"/>
      <c r="H9" s="22">
        <f>SUM(H4:H8)</f>
        <v>0</v>
      </c>
      <c r="K9" s="22">
        <f>SUM(K4:K7)</f>
        <v>0</v>
      </c>
      <c r="L9" s="22"/>
      <c r="M9" s="22"/>
      <c r="N9" s="22">
        <f>SUM(N4:N7)</f>
        <v>0</v>
      </c>
      <c r="O9" s="22">
        <f>SUM(O4:O7)</f>
        <v>0</v>
      </c>
    </row>
    <row r="10" spans="2:16" s="58" customFormat="1" x14ac:dyDescent="0.2">
      <c r="B10" s="59" t="s">
        <v>95</v>
      </c>
      <c r="C10" s="60">
        <f>'Client Input'!C52</f>
        <v>0</v>
      </c>
      <c r="D10" s="60">
        <f>'Client Input'!D52</f>
        <v>0</v>
      </c>
      <c r="E10" s="61">
        <f>D10*C10/1000</f>
        <v>0</v>
      </c>
      <c r="F10" s="60">
        <f>'Client Input'!E52</f>
        <v>0</v>
      </c>
      <c r="G10" s="60">
        <f>'Client Input'!F52</f>
        <v>0</v>
      </c>
      <c r="H10" s="62">
        <f>(G10+F10)/2*E10*12</f>
        <v>0</v>
      </c>
      <c r="I10" s="99">
        <v>1000</v>
      </c>
      <c r="J10" s="99">
        <f>D10</f>
        <v>0</v>
      </c>
      <c r="K10" s="99">
        <f>J10*I10/1000</f>
        <v>0</v>
      </c>
      <c r="L10" s="60">
        <f>F10</f>
        <v>0</v>
      </c>
      <c r="M10" s="60">
        <f>G10</f>
        <v>0</v>
      </c>
      <c r="N10" s="100">
        <f>(M10+L10)/2*K10*12</f>
        <v>0</v>
      </c>
      <c r="O10" s="62">
        <f>H10-N10</f>
        <v>0</v>
      </c>
    </row>
    <row r="11" spans="2:16" s="58" customFormat="1" ht="12" customHeight="1" x14ac:dyDescent="0.2">
      <c r="B11" s="63" t="s">
        <v>96</v>
      </c>
      <c r="C11" s="61"/>
      <c r="D11" s="61"/>
      <c r="E11" s="61"/>
      <c r="F11" s="61"/>
      <c r="G11" s="61"/>
      <c r="H11" s="62">
        <f>H9+H10</f>
        <v>0</v>
      </c>
      <c r="I11" s="61"/>
      <c r="J11" s="61"/>
      <c r="K11" s="99"/>
      <c r="L11" s="61"/>
      <c r="M11" s="61"/>
      <c r="N11" s="62"/>
      <c r="O11" s="62"/>
    </row>
    <row r="12" spans="2:16" x14ac:dyDescent="0.2">
      <c r="B12" s="15" t="s">
        <v>97</v>
      </c>
      <c r="C12" s="16"/>
      <c r="D12" s="22"/>
      <c r="E12" s="22"/>
      <c r="F12" s="22"/>
      <c r="G12" s="22"/>
      <c r="H12" s="22" t="e">
        <f>IF(Inputs!C2="Electricity",Inputs!C12+Inputs!E22,Inputs!E22)</f>
        <v>#DIV/0!</v>
      </c>
      <c r="K12" s="22"/>
      <c r="L12" s="22"/>
      <c r="M12" s="22"/>
      <c r="N12" s="22"/>
      <c r="O12" s="22"/>
      <c r="P12" s="22"/>
    </row>
    <row r="13" spans="2:16" x14ac:dyDescent="0.2">
      <c r="B13" s="15"/>
      <c r="C13" s="16"/>
      <c r="D13" s="22"/>
      <c r="E13" s="22"/>
      <c r="F13" s="22"/>
      <c r="G13" s="22"/>
      <c r="H13" s="114" t="e">
        <f>ABS(Electricity_consumption!H12-Electricity_consumption!H11)/Electricity_consumption!H11</f>
        <v>#DIV/0!</v>
      </c>
      <c r="K13" s="22"/>
      <c r="L13" s="22"/>
      <c r="M13" s="22"/>
      <c r="N13" s="22"/>
      <c r="O13" s="22"/>
      <c r="P13" s="22"/>
    </row>
    <row r="14" spans="2:16" x14ac:dyDescent="0.2">
      <c r="B14" s="14" t="s">
        <v>98</v>
      </c>
      <c r="E14" s="22">
        <f>SUM(D4:D6)</f>
        <v>0</v>
      </c>
      <c r="F14" s="14" t="s">
        <v>99</v>
      </c>
    </row>
    <row r="15" spans="2:16" x14ac:dyDescent="0.2">
      <c r="B15" s="14" t="s">
        <v>100</v>
      </c>
      <c r="E15" s="21" t="e">
        <f>SUM(H4:H6)/H12</f>
        <v>#DIV/0!</v>
      </c>
      <c r="F15" s="14" t="s">
        <v>101</v>
      </c>
    </row>
    <row r="16" spans="2:16" x14ac:dyDescent="0.2">
      <c r="B16" s="14" t="s">
        <v>102</v>
      </c>
      <c r="E16" s="22" t="e">
        <f>H12-O9*Summary!D15</f>
        <v>#DIV/0!</v>
      </c>
      <c r="F16" s="14" t="s">
        <v>6</v>
      </c>
    </row>
  </sheetData>
  <sheetProtection selectLockedCells="1" selectUnlockedCells="1"/>
  <pageMargins left="0.78749999999999998" right="0.78749999999999998" top="0.92638888888888893" bottom="0.92638888888888893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N28"/>
  <sheetViews>
    <sheetView workbookViewId="0">
      <selection activeCell="K26" sqref="K26"/>
    </sheetView>
  </sheetViews>
  <sheetFormatPr defaultColWidth="11.7109375" defaultRowHeight="12.75" x14ac:dyDescent="0.2"/>
  <cols>
    <col min="1" max="1" width="11.7109375" style="14"/>
    <col min="2" max="2" width="12.5703125" style="16" customWidth="1"/>
    <col min="3" max="3" width="16.28515625" style="14" customWidth="1"/>
    <col min="4" max="4" width="20.42578125" style="14" customWidth="1"/>
    <col min="5" max="7" width="11.7109375" style="14"/>
    <col min="8" max="8" width="14.140625" style="14" customWidth="1"/>
    <col min="9" max="9" width="8.140625" style="14" customWidth="1"/>
    <col min="10" max="10" width="13.7109375" style="14" customWidth="1"/>
    <col min="11" max="16384" width="11.7109375" style="14"/>
  </cols>
  <sheetData>
    <row r="2" spans="2:14" x14ac:dyDescent="0.2">
      <c r="B2" s="17" t="s">
        <v>103</v>
      </c>
      <c r="C2" s="15" t="s">
        <v>104</v>
      </c>
      <c r="D2" s="15" t="s">
        <v>105</v>
      </c>
      <c r="E2" s="17" t="s">
        <v>106</v>
      </c>
      <c r="F2" s="17" t="s">
        <v>107</v>
      </c>
      <c r="G2" s="17" t="s">
        <v>108</v>
      </c>
      <c r="H2" s="17" t="s">
        <v>88</v>
      </c>
      <c r="I2" s="17" t="s">
        <v>109</v>
      </c>
      <c r="J2" s="15" t="s">
        <v>69</v>
      </c>
      <c r="K2" s="15" t="s">
        <v>90</v>
      </c>
    </row>
    <row r="3" spans="2:14" ht="15" x14ac:dyDescent="0.25">
      <c r="B3" s="16">
        <v>1</v>
      </c>
      <c r="C3" s="14" t="str">
        <f>Inputs!G18</f>
        <v>Aisle</v>
      </c>
      <c r="D3" s="23">
        <f>Inputs!I18/COS(Inputs!K18*PI()/180)</f>
        <v>0</v>
      </c>
      <c r="E3" s="16">
        <f>ROUNDDOWN((D3*1000-2*Assumptions!J$5)/Assumptions!J$4,0)</f>
        <v>0</v>
      </c>
      <c r="F3" s="16">
        <f>ROUNDDOWN((Inputs!H18*1000-2*Assumptions!J$5)/Assumptions!J$3,0)</f>
        <v>0</v>
      </c>
      <c r="G3" s="16">
        <f>F3*E3</f>
        <v>0</v>
      </c>
      <c r="H3" s="16">
        <f>E3*F3*Assumptions!J$2/1000</f>
        <v>0</v>
      </c>
      <c r="I3" s="16">
        <f>PV_irradiance!AN6</f>
        <v>789</v>
      </c>
      <c r="J3" s="24">
        <v>0.92</v>
      </c>
      <c r="K3" s="22">
        <f>H3*I3*J3</f>
        <v>0</v>
      </c>
    </row>
    <row r="4" spans="2:14" ht="15" x14ac:dyDescent="0.25">
      <c r="B4" s="16">
        <v>2</v>
      </c>
      <c r="C4" s="14" t="str">
        <f>Inputs!G19</f>
        <v>Nave</v>
      </c>
      <c r="D4" s="23">
        <f>Inputs!I19/COS(Inputs!K19*PI()/180)</f>
        <v>0</v>
      </c>
      <c r="E4" s="16">
        <f>ROUNDDOWN((D4*1000-2*Assumptions!J$5)/Assumptions!J$4,0)</f>
        <v>0</v>
      </c>
      <c r="F4" s="16">
        <f>ROUNDDOWN((Inputs!H19*1000-2*Assumptions!J$5)/Assumptions!J$3,0)</f>
        <v>0</v>
      </c>
      <c r="G4" s="16">
        <f>F4*E4</f>
        <v>0</v>
      </c>
      <c r="H4" s="16">
        <f>E4*F4*Assumptions!J$2/1000</f>
        <v>0</v>
      </c>
      <c r="I4" s="16">
        <f>PV_irradiance!AN6</f>
        <v>789</v>
      </c>
      <c r="J4" s="24">
        <v>0.8</v>
      </c>
      <c r="K4" s="22">
        <f>H4*I4*J4</f>
        <v>0</v>
      </c>
    </row>
    <row r="5" spans="2:14" ht="15" x14ac:dyDescent="0.25">
      <c r="B5" s="16">
        <v>3</v>
      </c>
      <c r="C5" s="14" t="str">
        <f>Inputs!G20</f>
        <v>Chancel</v>
      </c>
      <c r="D5" s="23">
        <f>Inputs!I20/COS(Inputs!K20*PI()/180)</f>
        <v>0</v>
      </c>
      <c r="E5" s="16">
        <f>ROUNDDOWN((D5*1000-2*Assumptions!J$5)/Assumptions!J$4,0)</f>
        <v>0</v>
      </c>
      <c r="F5" s="16">
        <f>ROUNDDOWN((Inputs!H20*1000-2*Assumptions!J$5)/Assumptions!J$3,0)</f>
        <v>0</v>
      </c>
      <c r="G5" s="16">
        <f>F5*E5</f>
        <v>0</v>
      </c>
      <c r="H5" s="16">
        <f>E5*F5*Assumptions!J$2/1000</f>
        <v>0</v>
      </c>
      <c r="I5" s="16">
        <f>PV_irradiance!AN6</f>
        <v>789</v>
      </c>
      <c r="J5" s="24">
        <v>0.67</v>
      </c>
      <c r="K5" s="22">
        <f>H5*I5*J5</f>
        <v>0</v>
      </c>
    </row>
    <row r="6" spans="2:14" ht="15" x14ac:dyDescent="0.25">
      <c r="B6" s="16">
        <v>4</v>
      </c>
      <c r="C6" s="14" t="str">
        <f>Inputs!G21</f>
        <v>Other</v>
      </c>
      <c r="D6" s="23">
        <f>Inputs!I21/COS(Inputs!K21*PI()/180)</f>
        <v>0</v>
      </c>
      <c r="E6" s="16">
        <f>ROUNDDOWN((D6*1000-2*Assumptions!J$5)/Assumptions!J$4,0)</f>
        <v>0</v>
      </c>
      <c r="F6" s="16">
        <f>ROUNDDOWN((Inputs!H21*1000-2*Assumptions!J$5)/Assumptions!J$3,0)</f>
        <v>0</v>
      </c>
      <c r="G6" s="16">
        <f>F6*E6</f>
        <v>0</v>
      </c>
      <c r="H6" s="16">
        <f>E6*F6*Assumptions!J$2/1000</f>
        <v>0</v>
      </c>
      <c r="I6" s="16">
        <f>PV_irradiance!AO6</f>
        <v>789</v>
      </c>
      <c r="J6" s="24">
        <f>Inputs!L21</f>
        <v>0</v>
      </c>
      <c r="K6" s="22">
        <f>H6*I6*J6</f>
        <v>0</v>
      </c>
    </row>
    <row r="7" spans="2:14" ht="15" x14ac:dyDescent="0.25">
      <c r="B7" s="16">
        <v>5</v>
      </c>
      <c r="C7" s="14">
        <f>Inputs!G22</f>
        <v>0</v>
      </c>
      <c r="D7" s="23">
        <f>Inputs!I22/COS(Inputs!K22*PI()/180)</f>
        <v>0</v>
      </c>
      <c r="E7" s="16">
        <f>ROUNDDOWN((D7*1000-2*Assumptions!J$5)/Assumptions!J$4,0)</f>
        <v>0</v>
      </c>
      <c r="F7" s="16">
        <f>ROUNDDOWN((Inputs!H22*1000-2*Assumptions!J$5)/Assumptions!J$3,0)</f>
        <v>0</v>
      </c>
      <c r="G7" s="16">
        <f>F7*E7</f>
        <v>0</v>
      </c>
      <c r="H7" s="16">
        <f>E7*F7*Assumptions!J$2/1000</f>
        <v>0</v>
      </c>
      <c r="I7" s="16">
        <f>PV_irradiance!AP6</f>
        <v>789</v>
      </c>
      <c r="J7" s="24">
        <f>Inputs!L22</f>
        <v>0</v>
      </c>
      <c r="K7" s="22">
        <f>H7*I7*J7</f>
        <v>0</v>
      </c>
    </row>
    <row r="8" spans="2:14" x14ac:dyDescent="0.2">
      <c r="B8" s="17"/>
      <c r="C8" s="15" t="s">
        <v>4</v>
      </c>
      <c r="D8" s="17"/>
      <c r="E8" s="17"/>
      <c r="F8" s="17"/>
      <c r="G8" s="17">
        <f>SUM(G3:G7)</f>
        <v>0</v>
      </c>
      <c r="H8" s="17">
        <f>SUM(H3:H7)</f>
        <v>0</v>
      </c>
      <c r="I8" s="17"/>
      <c r="J8" s="17"/>
      <c r="K8" s="25">
        <f>SUM(K3:K7)</f>
        <v>0</v>
      </c>
      <c r="N8" s="16"/>
    </row>
    <row r="9" spans="2:14" x14ac:dyDescent="0.2">
      <c r="B9" s="17"/>
      <c r="C9" s="15"/>
      <c r="D9" s="17"/>
      <c r="E9" s="17"/>
      <c r="F9" s="17"/>
      <c r="G9" s="17"/>
      <c r="H9" s="17"/>
      <c r="I9" s="17"/>
      <c r="J9" s="16"/>
      <c r="K9" s="16"/>
      <c r="L9" s="16"/>
      <c r="N9" s="16"/>
    </row>
    <row r="10" spans="2:14" x14ac:dyDescent="0.2">
      <c r="B10" s="15" t="s">
        <v>110</v>
      </c>
    </row>
    <row r="11" spans="2:14" x14ac:dyDescent="0.2">
      <c r="B11" s="16" t="s">
        <v>111</v>
      </c>
      <c r="D11" s="21" t="e">
        <f>IF(Electricity_consumption!E16&lt;10000,'Look_Up_Tables_-_PV'!C12,'Look_Up_Tables_-_PV'!C24)</f>
        <v>#DIV/0!</v>
      </c>
    </row>
    <row r="12" spans="2:14" x14ac:dyDescent="0.2">
      <c r="B12" s="16" t="s">
        <v>112</v>
      </c>
      <c r="D12" s="20" t="e">
        <f>D11*K8</f>
        <v>#DIV/0!</v>
      </c>
      <c r="E12" s="14" t="s">
        <v>6</v>
      </c>
    </row>
    <row r="13" spans="2:14" x14ac:dyDescent="0.2">
      <c r="B13" s="16" t="s">
        <v>113</v>
      </c>
      <c r="D13" s="20" t="e">
        <f>(1-D11)*K8</f>
        <v>#DIV/0!</v>
      </c>
      <c r="E13" s="14" t="s">
        <v>6</v>
      </c>
    </row>
    <row r="14" spans="2:14" x14ac:dyDescent="0.2">
      <c r="D14" s="20"/>
    </row>
    <row r="15" spans="2:14" x14ac:dyDescent="0.2">
      <c r="B15" s="15" t="s">
        <v>114</v>
      </c>
      <c r="D15" s="20"/>
    </row>
    <row r="16" spans="2:14" x14ac:dyDescent="0.2">
      <c r="B16" s="16" t="s">
        <v>115</v>
      </c>
      <c r="D16" s="16">
        <v>13.5</v>
      </c>
    </row>
    <row r="17" spans="2:5" x14ac:dyDescent="0.2">
      <c r="B17" s="16" t="s">
        <v>116</v>
      </c>
      <c r="D17" s="26">
        <v>0.8</v>
      </c>
    </row>
    <row r="18" spans="2:5" x14ac:dyDescent="0.2">
      <c r="B18" s="14" t="s">
        <v>117</v>
      </c>
      <c r="D18" s="21" t="e">
        <f>IF(Electricity_consumption!E16&lt;10000,'Look_Up_Tables_-_PV'!C13,'Look_Up_Tables_-_PV'!C25)</f>
        <v>#DIV/0!</v>
      </c>
    </row>
    <row r="19" spans="2:5" x14ac:dyDescent="0.2">
      <c r="B19" s="14" t="s">
        <v>118</v>
      </c>
      <c r="D19" s="21" t="e">
        <f>D18-D11</f>
        <v>#DIV/0!</v>
      </c>
    </row>
    <row r="20" spans="2:5" x14ac:dyDescent="0.2">
      <c r="B20" s="14" t="s">
        <v>118</v>
      </c>
      <c r="D20" s="22" t="e">
        <f>D19*K8</f>
        <v>#DIV/0!</v>
      </c>
      <c r="E20" s="14" t="s">
        <v>6</v>
      </c>
    </row>
    <row r="21" spans="2:5" x14ac:dyDescent="0.2">
      <c r="B21" s="14" t="s">
        <v>119</v>
      </c>
      <c r="D21" s="22" t="e">
        <f>D13-D20</f>
        <v>#DIV/0!</v>
      </c>
      <c r="E21" s="14" t="s">
        <v>6</v>
      </c>
    </row>
    <row r="22" spans="2:5" x14ac:dyDescent="0.2">
      <c r="B22" s="14" t="s">
        <v>118</v>
      </c>
      <c r="D22" s="27" t="e">
        <f>D20*'Look_Up_Tables_-_Heating'!E4</f>
        <v>#DIV/0!</v>
      </c>
      <c r="E22" s="14" t="s">
        <v>8</v>
      </c>
    </row>
    <row r="23" spans="2:5" x14ac:dyDescent="0.2">
      <c r="B23" s="14" t="s">
        <v>120</v>
      </c>
      <c r="D23" s="20">
        <f>IF((Inputs!C20-Inputs!D20)&gt;0,365/4,0)</f>
        <v>0</v>
      </c>
      <c r="E23" s="14" t="s">
        <v>121</v>
      </c>
    </row>
    <row r="24" spans="2:5" x14ac:dyDescent="0.2">
      <c r="B24" s="14" t="s">
        <v>122</v>
      </c>
      <c r="D24" s="22" t="e">
        <f>IF(Inputs!C23&gt;D16,D16,Inputs!C23)*D23*Inputs!C17</f>
        <v>#DIV/0!</v>
      </c>
      <c r="E24" s="14" t="s">
        <v>6</v>
      </c>
    </row>
    <row r="25" spans="2:5" x14ac:dyDescent="0.2">
      <c r="B25" s="14" t="s">
        <v>123</v>
      </c>
      <c r="D25" s="27" t="e">
        <f>D24*(Inputs!C20-Inputs!D20)*D17*Inputs!C17</f>
        <v>#DIV/0!</v>
      </c>
      <c r="E25" s="14" t="s">
        <v>8</v>
      </c>
    </row>
    <row r="26" spans="2:5" x14ac:dyDescent="0.2">
      <c r="B26" s="14" t="s">
        <v>124</v>
      </c>
      <c r="D26" s="22" t="e">
        <f>D24+D20</f>
        <v>#DIV/0!</v>
      </c>
      <c r="E26" s="14" t="s">
        <v>6</v>
      </c>
    </row>
    <row r="28" spans="2:5" x14ac:dyDescent="0.2">
      <c r="B28" s="16" t="s">
        <v>113</v>
      </c>
      <c r="D28" s="20" t="e">
        <f>IF(Summary!D17,D21,D13)</f>
        <v>#DIV/0!</v>
      </c>
      <c r="E28" s="14" t="s">
        <v>6</v>
      </c>
    </row>
  </sheetData>
  <sheetProtection selectLockedCells="1" selectUnlockedCells="1"/>
  <dataValidations count="1">
    <dataValidation operator="equal" allowBlank="1" showErrorMessage="1" sqref="J3:J7" xr:uid="{00000000-0002-0000-0300-000000000000}">
      <formula1>0</formula1>
      <formula2>0</formula2>
    </dataValidation>
  </dataValidations>
  <pageMargins left="0.78749999999999998" right="0.78749999999999998" top="0.92638888888888893" bottom="0.92638888888888893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I41"/>
  <sheetViews>
    <sheetView workbookViewId="0">
      <selection activeCell="C10" sqref="C10"/>
    </sheetView>
  </sheetViews>
  <sheetFormatPr defaultColWidth="11.7109375" defaultRowHeight="12.75" x14ac:dyDescent="0.2"/>
  <cols>
    <col min="1" max="1" width="30.140625" style="14" bestFit="1" customWidth="1"/>
    <col min="2" max="2" width="20" style="14" bestFit="1" customWidth="1"/>
    <col min="3" max="3" width="11.7109375" style="16"/>
    <col min="4" max="5" width="11.7109375" style="14"/>
    <col min="6" max="6" width="29.5703125" style="14" customWidth="1"/>
    <col min="7" max="7" width="15.28515625" style="14" customWidth="1"/>
    <col min="8" max="16384" width="11.7109375" style="14"/>
  </cols>
  <sheetData>
    <row r="2" spans="1:9" x14ac:dyDescent="0.2">
      <c r="A2" s="15" t="s">
        <v>125</v>
      </c>
      <c r="B2" s="14" t="s">
        <v>126</v>
      </c>
      <c r="C2" s="22">
        <f>Summary!E5</f>
        <v>0</v>
      </c>
      <c r="D2" s="14" t="s">
        <v>6</v>
      </c>
      <c r="H2" s="21"/>
      <c r="I2" s="28"/>
    </row>
    <row r="3" spans="1:9" x14ac:dyDescent="0.2">
      <c r="A3" s="15"/>
      <c r="B3" s="14" t="s">
        <v>127</v>
      </c>
      <c r="C3" s="22">
        <f>C2*'Look_Up_Tables_-_Heating'!F14</f>
        <v>0</v>
      </c>
      <c r="D3" s="14" t="s">
        <v>6</v>
      </c>
    </row>
    <row r="4" spans="1:9" x14ac:dyDescent="0.2">
      <c r="A4" s="15"/>
    </row>
    <row r="5" spans="1:9" x14ac:dyDescent="0.2">
      <c r="A5" s="15"/>
      <c r="B5" s="14" t="s">
        <v>128</v>
      </c>
      <c r="C5" s="29">
        <f>C2*'Look_Up_Tables_-_Heating'!E14</f>
        <v>0</v>
      </c>
      <c r="D5" s="14" t="s">
        <v>8</v>
      </c>
    </row>
    <row r="6" spans="1:9" ht="15.75" x14ac:dyDescent="0.3">
      <c r="A6" s="15"/>
      <c r="B6" s="14" t="s">
        <v>129</v>
      </c>
      <c r="C6" s="22">
        <f>C2*'Look_Up_Tables_-_Heating'!D14</f>
        <v>0</v>
      </c>
      <c r="D6" s="14" t="s">
        <v>130</v>
      </c>
    </row>
    <row r="7" spans="1:9" x14ac:dyDescent="0.2">
      <c r="A7" s="15"/>
      <c r="C7" s="22"/>
      <c r="H7" s="22"/>
    </row>
    <row r="8" spans="1:9" x14ac:dyDescent="0.2">
      <c r="A8" s="15" t="s">
        <v>131</v>
      </c>
      <c r="B8" s="14" t="s">
        <v>132</v>
      </c>
      <c r="C8" s="22">
        <f>IF(Summary!D14,C3/2,0)</f>
        <v>0</v>
      </c>
      <c r="H8" s="22"/>
    </row>
    <row r="9" spans="1:9" x14ac:dyDescent="0.2">
      <c r="A9" s="15"/>
      <c r="B9" s="14" t="s">
        <v>133</v>
      </c>
      <c r="C9" s="22">
        <f>C2-C8</f>
        <v>0</v>
      </c>
      <c r="D9" s="14" t="s">
        <v>6</v>
      </c>
      <c r="H9" s="22"/>
    </row>
    <row r="10" spans="1:9" x14ac:dyDescent="0.2">
      <c r="A10" s="15"/>
      <c r="B10" s="14" t="s">
        <v>127</v>
      </c>
      <c r="C10" s="22">
        <f>C9*'Look_Up_Tables_-_Heating'!F14</f>
        <v>0</v>
      </c>
      <c r="H10" s="22"/>
    </row>
    <row r="11" spans="1:9" x14ac:dyDescent="0.2">
      <c r="A11" s="15"/>
      <c r="B11" s="14" t="s">
        <v>128</v>
      </c>
      <c r="C11" s="29">
        <f>C9*'Look_Up_Tables_-_Heating'!E14</f>
        <v>0</v>
      </c>
      <c r="H11" s="22"/>
    </row>
    <row r="12" spans="1:9" ht="15.75" x14ac:dyDescent="0.3">
      <c r="A12" s="15"/>
      <c r="B12" s="14" t="s">
        <v>129</v>
      </c>
      <c r="C12" s="22">
        <f>C9*'Look_Up_Tables_-_Heating'!D14</f>
        <v>0</v>
      </c>
      <c r="D12" s="14" t="s">
        <v>130</v>
      </c>
      <c r="H12" s="22"/>
    </row>
    <row r="14" spans="1:9" x14ac:dyDescent="0.2">
      <c r="A14" s="15" t="s">
        <v>134</v>
      </c>
      <c r="B14" s="14" t="s">
        <v>135</v>
      </c>
      <c r="C14" s="16">
        <f>Inputs!I4*Inputs!I5*2+Inputs!I4*Inputs!I6*2</f>
        <v>0</v>
      </c>
    </row>
    <row r="15" spans="1:9" x14ac:dyDescent="0.2">
      <c r="B15" s="14" t="s">
        <v>136</v>
      </c>
      <c r="C15" s="16">
        <f>Inputs!I5*Inputs!I6</f>
        <v>0</v>
      </c>
    </row>
    <row r="16" spans="1:9" x14ac:dyDescent="0.2">
      <c r="B16" s="14" t="s">
        <v>137</v>
      </c>
      <c r="C16" s="16">
        <f>C15</f>
        <v>0</v>
      </c>
    </row>
    <row r="17" spans="1:8" x14ac:dyDescent="0.2">
      <c r="B17" s="14" t="s">
        <v>138</v>
      </c>
      <c r="C17" s="27">
        <f>Assumptions!E5*C14</f>
        <v>0</v>
      </c>
      <c r="E17" s="16"/>
    </row>
    <row r="18" spans="1:8" x14ac:dyDescent="0.2">
      <c r="B18" s="14" t="s">
        <v>139</v>
      </c>
      <c r="C18" s="27">
        <f>Assumptions!E6*C15</f>
        <v>0</v>
      </c>
      <c r="E18" s="16"/>
    </row>
    <row r="19" spans="1:8" x14ac:dyDescent="0.2">
      <c r="B19" s="14" t="s">
        <v>140</v>
      </c>
      <c r="C19" s="27">
        <f>C16*Assumptions!E7</f>
        <v>0</v>
      </c>
      <c r="E19" s="16"/>
    </row>
    <row r="20" spans="1:8" x14ac:dyDescent="0.2">
      <c r="B20" s="14" t="s">
        <v>4</v>
      </c>
      <c r="C20" s="27">
        <f>C18+C17+C19</f>
        <v>0</v>
      </c>
    </row>
    <row r="21" spans="1:8" x14ac:dyDescent="0.2">
      <c r="A21" s="15"/>
      <c r="C21" s="30"/>
      <c r="D21" s="28"/>
    </row>
    <row r="22" spans="1:8" x14ac:dyDescent="0.2">
      <c r="A22" s="15" t="s">
        <v>141</v>
      </c>
      <c r="B22" s="14" t="s">
        <v>142</v>
      </c>
      <c r="C22" s="21">
        <f>Inputs!I13/Inputs!I12</f>
        <v>0.52380952380952384</v>
      </c>
      <c r="D22" s="28"/>
    </row>
    <row r="23" spans="1:8" x14ac:dyDescent="0.2">
      <c r="B23" s="14" t="s">
        <v>143</v>
      </c>
      <c r="C23" s="21" t="e">
        <f>Inputs!I7/(Inputs!I7+Inputs!I10)*C22</f>
        <v>#DIV/0!</v>
      </c>
    </row>
    <row r="24" spans="1:8" x14ac:dyDescent="0.2">
      <c r="B24" s="14" t="s">
        <v>144</v>
      </c>
      <c r="C24" s="22" cm="1">
        <f t="array" ref="C24">_xlfn.IFS(Summary!D18=B41,C10*(1-C23),Summary!D18=Heating_Design!B40,C10*(1-C23),Summary!D18=Heating_Design!B39,Heating_Design!C3)</f>
        <v>0</v>
      </c>
      <c r="D24" s="14" t="s">
        <v>6</v>
      </c>
    </row>
    <row r="25" spans="1:8" x14ac:dyDescent="0.2">
      <c r="B25" s="14" t="s">
        <v>126</v>
      </c>
      <c r="C25" s="22" t="e">
        <f>C24/'Look_Up_Tables_-_Heating'!F14</f>
        <v>#DIV/0!</v>
      </c>
      <c r="D25" s="14" t="s">
        <v>6</v>
      </c>
    </row>
    <row r="26" spans="1:8" x14ac:dyDescent="0.2">
      <c r="F26" s="15"/>
      <c r="G26" s="15"/>
      <c r="H26" s="15"/>
    </row>
    <row r="27" spans="1:8" x14ac:dyDescent="0.2">
      <c r="A27" s="15" t="s">
        <v>145</v>
      </c>
      <c r="B27" s="14" t="s">
        <v>146</v>
      </c>
      <c r="C27" s="20" cm="1">
        <f t="array" ref="C27">_xlfn.IFS(Summary!D18=B41,Inputs!C4*(1-C23),Summary!D18=Heating_Design!B40,Inputs!C4*(1-C23),Summary!D18=Heating_Design!B39,Inputs!C4)</f>
        <v>0</v>
      </c>
      <c r="D27" s="14" t="s">
        <v>51</v>
      </c>
      <c r="F27" s="15"/>
      <c r="G27" s="16"/>
      <c r="H27" s="16"/>
    </row>
    <row r="28" spans="1:8" x14ac:dyDescent="0.2">
      <c r="B28" s="14" t="s">
        <v>128</v>
      </c>
      <c r="C28" s="27" t="e">
        <f>C25*'Look_Up_Tables_-_Heating'!E14</f>
        <v>#DIV/0!</v>
      </c>
      <c r="D28" s="14" t="s">
        <v>8</v>
      </c>
      <c r="F28" s="15"/>
      <c r="G28" s="16"/>
      <c r="H28" s="16"/>
    </row>
    <row r="29" spans="1:8" ht="15.75" x14ac:dyDescent="0.3">
      <c r="B29" s="14" t="s">
        <v>129</v>
      </c>
      <c r="C29" s="22" t="e">
        <f>C25*'Look_Up_Tables_-_Heating'!D14</f>
        <v>#DIV/0!</v>
      </c>
      <c r="D29" s="14" t="s">
        <v>130</v>
      </c>
      <c r="G29" s="16"/>
      <c r="H29" s="16"/>
    </row>
    <row r="30" spans="1:8" x14ac:dyDescent="0.2">
      <c r="C30" s="30"/>
    </row>
    <row r="31" spans="1:8" x14ac:dyDescent="0.2">
      <c r="A31" s="15" t="s">
        <v>147</v>
      </c>
      <c r="B31" s="14" t="s">
        <v>47</v>
      </c>
      <c r="C31" s="16" t="str">
        <f>Summary!D20</f>
        <v>None</v>
      </c>
    </row>
    <row r="32" spans="1:8" x14ac:dyDescent="0.2">
      <c r="A32" s="15"/>
      <c r="B32" s="14" t="s">
        <v>148</v>
      </c>
      <c r="C32" s="21">
        <f>'Look_Up_Tables_-_Heating'!F16</f>
        <v>0</v>
      </c>
    </row>
    <row r="33" spans="1:4" x14ac:dyDescent="0.2">
      <c r="B33" s="14" t="s">
        <v>149</v>
      </c>
      <c r="C33" s="27">
        <f>'Look_Up_Tables_-_Heating'!J16*C27</f>
        <v>0</v>
      </c>
      <c r="D33" s="14" t="s">
        <v>150</v>
      </c>
    </row>
    <row r="34" spans="1:4" x14ac:dyDescent="0.2">
      <c r="B34" s="14" t="s">
        <v>85</v>
      </c>
      <c r="C34" s="22">
        <f>IF(Summary!D20="none",0,C24/C32)</f>
        <v>0</v>
      </c>
      <c r="D34" s="14" t="s">
        <v>6</v>
      </c>
    </row>
    <row r="35" spans="1:4" ht="15.75" x14ac:dyDescent="0.3">
      <c r="B35" s="14" t="s">
        <v>129</v>
      </c>
      <c r="C35" s="22">
        <f>C34*'Look_Up_Tables_-_Heating'!D16</f>
        <v>0</v>
      </c>
      <c r="D35" s="14" t="s">
        <v>130</v>
      </c>
    </row>
    <row r="36" spans="1:4" x14ac:dyDescent="0.2">
      <c r="B36" s="14" t="s">
        <v>128</v>
      </c>
      <c r="C36" s="27">
        <f>C34*'Look_Up_Tables_-_Heating'!E16</f>
        <v>0</v>
      </c>
      <c r="D36" s="14" t="s">
        <v>8</v>
      </c>
    </row>
    <row r="37" spans="1:4" x14ac:dyDescent="0.2">
      <c r="B37" s="14" t="s">
        <v>18</v>
      </c>
      <c r="C37" s="65">
        <f>IF(Summary!C20="Air-Water Heat-Pump",(C25-C34)*'Look_Up_Tables_-_Heating'!G16,C34*'Look_Up_Tables_-_Heating'!G16)</f>
        <v>0</v>
      </c>
      <c r="D37" s="14" t="s">
        <v>8</v>
      </c>
    </row>
    <row r="39" spans="1:4" x14ac:dyDescent="0.2">
      <c r="A39" s="15" t="s">
        <v>284</v>
      </c>
      <c r="B39" s="14" t="s">
        <v>224</v>
      </c>
      <c r="C39" s="27">
        <v>0</v>
      </c>
    </row>
    <row r="40" spans="1:4" x14ac:dyDescent="0.2">
      <c r="B40" s="14" t="s">
        <v>286</v>
      </c>
      <c r="C40" s="29">
        <f>C20/3</f>
        <v>0</v>
      </c>
    </row>
    <row r="41" spans="1:4" x14ac:dyDescent="0.2">
      <c r="B41" s="14" t="s">
        <v>285</v>
      </c>
      <c r="C41" s="27">
        <f>C20</f>
        <v>0</v>
      </c>
    </row>
  </sheetData>
  <sheetProtection selectLockedCells="1" selectUnlockedCells="1"/>
  <pageMargins left="0.78749999999999998" right="0.78749999999999998" top="0.92638888888888893" bottom="0.92638888888888893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K64"/>
  <sheetViews>
    <sheetView workbookViewId="0">
      <selection activeCell="C36" sqref="C36"/>
    </sheetView>
  </sheetViews>
  <sheetFormatPr defaultColWidth="11.7109375" defaultRowHeight="14.25" x14ac:dyDescent="0.2"/>
  <cols>
    <col min="1" max="1" width="11.7109375" style="14"/>
    <col min="2" max="2" width="21.7109375" style="31" customWidth="1"/>
    <col min="3" max="3" width="15" style="31" customWidth="1"/>
    <col min="4" max="7" width="11.7109375" style="31"/>
    <col min="8" max="8" width="27.140625" style="31" customWidth="1"/>
    <col min="9" max="9" width="11.7109375" style="31"/>
    <col min="10" max="16384" width="11.7109375" style="14"/>
  </cols>
  <sheetData>
    <row r="1" spans="1:11" ht="12.75" x14ac:dyDescent="0.2">
      <c r="B1" s="14"/>
      <c r="C1" s="14"/>
      <c r="D1" s="14"/>
      <c r="E1" s="14"/>
      <c r="F1" s="14"/>
      <c r="G1" s="14"/>
      <c r="H1" s="14"/>
      <c r="I1" s="14"/>
    </row>
    <row r="2" spans="1:11" x14ac:dyDescent="0.2">
      <c r="B2" s="15" t="s">
        <v>151</v>
      </c>
      <c r="C2" s="15" t="s">
        <v>152</v>
      </c>
      <c r="D2" s="15" t="s">
        <v>153</v>
      </c>
      <c r="E2" s="32" t="s">
        <v>154</v>
      </c>
      <c r="F2" s="15" t="s">
        <v>4</v>
      </c>
      <c r="G2" s="14"/>
      <c r="H2" s="15" t="s">
        <v>155</v>
      </c>
      <c r="I2" s="31" t="s">
        <v>156</v>
      </c>
      <c r="J2" s="33">
        <v>315</v>
      </c>
      <c r="K2" s="16" t="s">
        <v>157</v>
      </c>
    </row>
    <row r="3" spans="1:11" x14ac:dyDescent="0.2">
      <c r="B3" s="14"/>
      <c r="C3" s="14" t="s">
        <v>158</v>
      </c>
      <c r="D3" s="27">
        <v>100</v>
      </c>
      <c r="E3" s="27">
        <v>100</v>
      </c>
      <c r="F3" s="27">
        <f>E3+D3</f>
        <v>200</v>
      </c>
      <c r="G3" s="14"/>
      <c r="I3" s="31" t="s">
        <v>159</v>
      </c>
      <c r="J3" s="33">
        <v>1675</v>
      </c>
      <c r="K3" s="16" t="s">
        <v>160</v>
      </c>
    </row>
    <row r="4" spans="1:11" x14ac:dyDescent="0.2">
      <c r="B4" s="14"/>
      <c r="C4" s="14"/>
      <c r="D4" s="14"/>
      <c r="E4" s="14"/>
      <c r="F4" s="14"/>
      <c r="G4" s="14"/>
      <c r="I4" s="31" t="s">
        <v>161</v>
      </c>
      <c r="J4" s="33">
        <v>995</v>
      </c>
      <c r="K4" s="16" t="s">
        <v>160</v>
      </c>
    </row>
    <row r="5" spans="1:11" x14ac:dyDescent="0.2">
      <c r="B5" s="15" t="s">
        <v>25</v>
      </c>
      <c r="C5" s="14" t="s">
        <v>162</v>
      </c>
      <c r="D5" s="14" t="s">
        <v>163</v>
      </c>
      <c r="E5" s="27">
        <v>180</v>
      </c>
      <c r="F5" s="14"/>
      <c r="G5" s="14"/>
      <c r="H5" s="14"/>
      <c r="I5" s="31" t="s">
        <v>164</v>
      </c>
      <c r="J5" s="33">
        <v>350</v>
      </c>
      <c r="K5" s="16" t="s">
        <v>160</v>
      </c>
    </row>
    <row r="6" spans="1:11" x14ac:dyDescent="0.2">
      <c r="B6" s="14"/>
      <c r="C6" s="14"/>
      <c r="D6" s="14" t="s">
        <v>139</v>
      </c>
      <c r="E6" s="27">
        <v>210</v>
      </c>
      <c r="F6" s="14"/>
      <c r="G6" s="14"/>
    </row>
    <row r="7" spans="1:11" x14ac:dyDescent="0.2">
      <c r="A7" s="31"/>
      <c r="D7" s="31" t="s">
        <v>140</v>
      </c>
      <c r="E7" s="34">
        <v>155</v>
      </c>
      <c r="J7" s="31"/>
      <c r="K7" s="31"/>
    </row>
    <row r="8" spans="1:11" x14ac:dyDescent="0.2">
      <c r="A8" s="31"/>
      <c r="E8" s="34"/>
      <c r="J8" s="31"/>
      <c r="K8" s="31"/>
    </row>
    <row r="9" spans="1:11" x14ac:dyDescent="0.2">
      <c r="A9" s="31"/>
      <c r="B9" s="15" t="s">
        <v>165</v>
      </c>
      <c r="C9" s="14" t="s">
        <v>162</v>
      </c>
      <c r="D9" s="14" t="s">
        <v>163</v>
      </c>
      <c r="E9" s="27">
        <v>100</v>
      </c>
      <c r="J9" s="31"/>
      <c r="K9" s="31"/>
    </row>
    <row r="10" spans="1:11" x14ac:dyDescent="0.2">
      <c r="A10" s="31"/>
      <c r="J10" s="31"/>
      <c r="K10" s="31"/>
    </row>
    <row r="11" spans="1:11" ht="15" x14ac:dyDescent="0.25">
      <c r="A11" s="31"/>
      <c r="B11" s="35" t="s">
        <v>166</v>
      </c>
      <c r="C11" s="36">
        <f>3.55/100</f>
        <v>3.5499999999999997E-2</v>
      </c>
      <c r="D11" s="34" t="s">
        <v>58</v>
      </c>
      <c r="H11" s="37" t="s">
        <v>167</v>
      </c>
      <c r="I11" s="31" t="s">
        <v>168</v>
      </c>
      <c r="J11" s="38">
        <f>8000*1.2</f>
        <v>9600</v>
      </c>
      <c r="K11" s="36" t="s">
        <v>169</v>
      </c>
    </row>
    <row r="12" spans="1:11" x14ac:dyDescent="0.2">
      <c r="A12" s="31"/>
      <c r="B12" s="34"/>
      <c r="C12" s="34"/>
      <c r="D12" s="34"/>
      <c r="I12" s="31" t="s">
        <v>170</v>
      </c>
      <c r="J12" s="31"/>
      <c r="K12" s="31"/>
    </row>
    <row r="13" spans="1:11" ht="15" x14ac:dyDescent="0.25">
      <c r="A13" s="31"/>
      <c r="B13" s="37" t="s">
        <v>26</v>
      </c>
      <c r="C13" s="37" t="s">
        <v>171</v>
      </c>
      <c r="D13" s="37" t="s">
        <v>149</v>
      </c>
      <c r="E13" s="34"/>
      <c r="F13" s="34"/>
      <c r="I13" s="34"/>
      <c r="J13" s="31"/>
      <c r="K13" s="31"/>
    </row>
    <row r="14" spans="1:11" x14ac:dyDescent="0.2">
      <c r="A14" s="31"/>
      <c r="C14" s="31" t="s">
        <v>172</v>
      </c>
      <c r="D14" s="34">
        <f>(I22+I23+I25+I27+I28+I31)*1.2</f>
        <v>28032</v>
      </c>
      <c r="E14" s="34"/>
      <c r="F14" s="34"/>
      <c r="J14" s="31"/>
      <c r="K14" s="31"/>
    </row>
    <row r="15" spans="1:11" x14ac:dyDescent="0.2">
      <c r="A15" s="31"/>
      <c r="D15" s="34"/>
      <c r="E15" s="34"/>
      <c r="F15" s="34"/>
      <c r="J15" s="31"/>
      <c r="K15" s="31"/>
    </row>
    <row r="16" spans="1:11" ht="15" x14ac:dyDescent="0.25">
      <c r="A16" s="31"/>
      <c r="B16" s="37" t="s">
        <v>173</v>
      </c>
      <c r="C16" s="37" t="s">
        <v>174</v>
      </c>
      <c r="D16" s="39" t="s">
        <v>175</v>
      </c>
      <c r="E16" s="34"/>
      <c r="F16" s="34"/>
      <c r="I16" s="34"/>
      <c r="J16" s="31"/>
      <c r="K16" s="31"/>
    </row>
    <row r="17" spans="1:11" x14ac:dyDescent="0.2">
      <c r="A17" s="31"/>
      <c r="C17" s="34">
        <f>(I20+I21+I24+I26+I30+I32+I29)*1.2</f>
        <v>32364</v>
      </c>
      <c r="D17" s="34">
        <f>C17/100</f>
        <v>323.64</v>
      </c>
      <c r="E17" s="31" t="s">
        <v>176</v>
      </c>
      <c r="F17" s="34"/>
      <c r="I17" s="34"/>
      <c r="J17" s="31"/>
      <c r="K17" s="31"/>
    </row>
    <row r="18" spans="1:11" x14ac:dyDescent="0.2">
      <c r="A18" s="31"/>
      <c r="D18" s="34"/>
      <c r="E18" s="34"/>
      <c r="F18" s="34"/>
      <c r="I18" s="36"/>
      <c r="J18" s="31"/>
      <c r="K18" s="31"/>
    </row>
    <row r="19" spans="1:11" ht="15" x14ac:dyDescent="0.25">
      <c r="A19" s="31"/>
      <c r="B19" s="37" t="s">
        <v>177</v>
      </c>
      <c r="D19" s="34"/>
      <c r="E19" s="34"/>
      <c r="F19" s="34"/>
      <c r="I19" s="36"/>
      <c r="J19" s="31"/>
      <c r="K19" s="31"/>
    </row>
    <row r="20" spans="1:11" x14ac:dyDescent="0.2">
      <c r="A20" s="31"/>
      <c r="B20" s="31" t="s">
        <v>178</v>
      </c>
      <c r="D20" s="34"/>
      <c r="E20" s="34"/>
      <c r="F20" s="34"/>
      <c r="I20" s="40">
        <v>11600</v>
      </c>
      <c r="J20" s="31"/>
      <c r="K20" s="31"/>
    </row>
    <row r="21" spans="1:11" x14ac:dyDescent="0.2">
      <c r="A21" s="31"/>
      <c r="B21" s="31" t="s">
        <v>179</v>
      </c>
      <c r="D21" s="34"/>
      <c r="E21" s="34"/>
      <c r="F21" s="34"/>
      <c r="I21" s="40">
        <v>3500</v>
      </c>
      <c r="J21" s="31"/>
      <c r="K21" s="31"/>
    </row>
    <row r="22" spans="1:11" x14ac:dyDescent="0.2">
      <c r="A22" s="31"/>
      <c r="B22" s="31" t="s">
        <v>180</v>
      </c>
      <c r="D22" s="34"/>
      <c r="E22" s="34"/>
      <c r="F22" s="34"/>
      <c r="I22" s="40">
        <v>950</v>
      </c>
      <c r="J22" s="31"/>
      <c r="K22" s="31"/>
    </row>
    <row r="23" spans="1:11" x14ac:dyDescent="0.2">
      <c r="A23" s="31"/>
      <c r="B23" s="31" t="s">
        <v>181</v>
      </c>
      <c r="D23" s="34"/>
      <c r="E23" s="34"/>
      <c r="F23" s="34"/>
      <c r="I23" s="40">
        <v>1700</v>
      </c>
      <c r="J23" s="31"/>
      <c r="K23" s="31"/>
    </row>
    <row r="24" spans="1:11" x14ac:dyDescent="0.2">
      <c r="A24" s="31"/>
      <c r="B24" s="31" t="s">
        <v>182</v>
      </c>
      <c r="D24" s="34"/>
      <c r="E24" s="34"/>
      <c r="F24" s="34"/>
      <c r="I24" s="40">
        <v>3000</v>
      </c>
      <c r="J24" s="31"/>
      <c r="K24" s="31"/>
    </row>
    <row r="25" spans="1:11" x14ac:dyDescent="0.2">
      <c r="A25" s="31"/>
      <c r="B25" s="31" t="s">
        <v>183</v>
      </c>
      <c r="D25" s="34"/>
      <c r="E25" s="34"/>
      <c r="F25" s="34"/>
      <c r="I25" s="40">
        <v>2150</v>
      </c>
      <c r="J25" s="31"/>
      <c r="K25" s="31"/>
    </row>
    <row r="26" spans="1:11" x14ac:dyDescent="0.2">
      <c r="A26" s="31"/>
      <c r="B26" s="31" t="s">
        <v>184</v>
      </c>
      <c r="D26" s="34"/>
      <c r="E26" s="34"/>
      <c r="F26" s="34"/>
      <c r="I26" s="40">
        <v>1600</v>
      </c>
      <c r="J26" s="31"/>
      <c r="K26" s="31"/>
    </row>
    <row r="27" spans="1:11" x14ac:dyDescent="0.2">
      <c r="A27" s="31"/>
      <c r="B27" s="31" t="s">
        <v>185</v>
      </c>
      <c r="D27" s="34"/>
      <c r="E27" s="34"/>
      <c r="F27" s="34"/>
      <c r="I27" s="36">
        <v>4700</v>
      </c>
      <c r="J27" s="31"/>
      <c r="K27" s="31"/>
    </row>
    <row r="28" spans="1:11" x14ac:dyDescent="0.2">
      <c r="A28" s="31"/>
      <c r="B28" s="31" t="s">
        <v>186</v>
      </c>
      <c r="I28" s="40">
        <v>10500</v>
      </c>
      <c r="J28" s="31"/>
      <c r="K28" s="31"/>
    </row>
    <row r="29" spans="1:11" x14ac:dyDescent="0.2">
      <c r="A29" s="31"/>
      <c r="B29" s="31" t="s">
        <v>187</v>
      </c>
      <c r="I29" s="40">
        <v>6160</v>
      </c>
      <c r="J29" s="31"/>
      <c r="K29" s="31"/>
    </row>
    <row r="30" spans="1:11" x14ac:dyDescent="0.2">
      <c r="A30" s="31"/>
      <c r="B30" s="31" t="s">
        <v>188</v>
      </c>
      <c r="I30" s="36">
        <v>550</v>
      </c>
      <c r="J30" s="31"/>
      <c r="K30" s="31"/>
    </row>
    <row r="31" spans="1:11" x14ac:dyDescent="0.2">
      <c r="A31" s="31"/>
      <c r="B31" s="31" t="s">
        <v>189</v>
      </c>
      <c r="I31" s="40">
        <v>3360</v>
      </c>
      <c r="J31" s="31"/>
      <c r="K31" s="31"/>
    </row>
    <row r="32" spans="1:11" x14ac:dyDescent="0.2">
      <c r="A32" s="31"/>
      <c r="B32" s="31" t="s">
        <v>190</v>
      </c>
      <c r="I32" s="40">
        <v>560</v>
      </c>
      <c r="J32" s="31"/>
      <c r="K32" s="31"/>
    </row>
    <row r="33" spans="1:11" x14ac:dyDescent="0.2">
      <c r="A33" s="31"/>
      <c r="I33" s="36"/>
      <c r="J33" s="31"/>
      <c r="K33" s="31"/>
    </row>
    <row r="34" spans="1:11" x14ac:dyDescent="0.2">
      <c r="A34" s="31"/>
      <c r="I34" s="36"/>
      <c r="J34" s="31"/>
      <c r="K34" s="31"/>
    </row>
    <row r="35" spans="1:11" x14ac:dyDescent="0.2">
      <c r="A35" s="31"/>
      <c r="J35" s="31"/>
      <c r="K35" s="31"/>
    </row>
    <row r="36" spans="1:11" x14ac:dyDescent="0.2">
      <c r="A36" s="31"/>
      <c r="J36" s="31"/>
      <c r="K36" s="31"/>
    </row>
    <row r="37" spans="1:11" x14ac:dyDescent="0.2">
      <c r="A37" s="31"/>
      <c r="J37" s="31"/>
      <c r="K37" s="31"/>
    </row>
    <row r="38" spans="1:11" x14ac:dyDescent="0.2">
      <c r="A38" s="31"/>
      <c r="J38" s="31"/>
      <c r="K38" s="31"/>
    </row>
    <row r="39" spans="1:11" x14ac:dyDescent="0.2">
      <c r="A39" s="31"/>
      <c r="J39" s="31"/>
      <c r="K39" s="31"/>
    </row>
    <row r="40" spans="1:11" x14ac:dyDescent="0.2">
      <c r="A40" s="31"/>
      <c r="J40" s="31"/>
      <c r="K40" s="31"/>
    </row>
    <row r="41" spans="1:11" x14ac:dyDescent="0.2">
      <c r="A41" s="31"/>
      <c r="J41" s="31"/>
      <c r="K41" s="31"/>
    </row>
    <row r="42" spans="1:11" x14ac:dyDescent="0.2">
      <c r="A42" s="31"/>
      <c r="J42" s="31"/>
      <c r="K42" s="31"/>
    </row>
    <row r="43" spans="1:11" x14ac:dyDescent="0.2">
      <c r="A43" s="31"/>
      <c r="J43" s="31"/>
      <c r="K43" s="31"/>
    </row>
    <row r="44" spans="1:11" x14ac:dyDescent="0.2">
      <c r="A44" s="31"/>
      <c r="J44" s="31"/>
      <c r="K44" s="31"/>
    </row>
    <row r="45" spans="1:11" x14ac:dyDescent="0.2">
      <c r="A45" s="31"/>
      <c r="J45" s="31"/>
      <c r="K45" s="31"/>
    </row>
    <row r="46" spans="1:11" x14ac:dyDescent="0.2">
      <c r="A46" s="31"/>
      <c r="J46" s="31"/>
      <c r="K46" s="31"/>
    </row>
    <row r="47" spans="1:11" x14ac:dyDescent="0.2">
      <c r="A47" s="31"/>
      <c r="J47" s="31"/>
      <c r="K47" s="31"/>
    </row>
    <row r="48" spans="1:11" x14ac:dyDescent="0.2">
      <c r="A48" s="31"/>
      <c r="J48" s="31"/>
      <c r="K48" s="31"/>
    </row>
    <row r="49" spans="1:11" x14ac:dyDescent="0.2">
      <c r="A49" s="31"/>
      <c r="J49" s="31"/>
      <c r="K49" s="31"/>
    </row>
    <row r="50" spans="1:11" x14ac:dyDescent="0.2">
      <c r="A50" s="31"/>
      <c r="J50" s="31"/>
      <c r="K50" s="31"/>
    </row>
    <row r="51" spans="1:11" x14ac:dyDescent="0.2">
      <c r="A51" s="31"/>
      <c r="J51" s="31"/>
      <c r="K51" s="31"/>
    </row>
    <row r="52" spans="1:11" x14ac:dyDescent="0.2">
      <c r="A52" s="31"/>
      <c r="J52" s="31"/>
      <c r="K52" s="31"/>
    </row>
    <row r="53" spans="1:11" x14ac:dyDescent="0.2">
      <c r="A53" s="31"/>
      <c r="J53" s="31"/>
      <c r="K53" s="31"/>
    </row>
    <row r="54" spans="1:11" x14ac:dyDescent="0.2">
      <c r="A54" s="31"/>
      <c r="J54" s="31"/>
      <c r="K54" s="31"/>
    </row>
    <row r="55" spans="1:11" x14ac:dyDescent="0.2">
      <c r="A55" s="31"/>
      <c r="J55" s="31"/>
      <c r="K55" s="31"/>
    </row>
    <row r="56" spans="1:11" x14ac:dyDescent="0.2">
      <c r="A56" s="31"/>
      <c r="J56" s="31"/>
      <c r="K56" s="31"/>
    </row>
    <row r="57" spans="1:11" x14ac:dyDescent="0.2">
      <c r="A57" s="31"/>
      <c r="J57" s="31"/>
      <c r="K57" s="31"/>
    </row>
    <row r="58" spans="1:11" x14ac:dyDescent="0.2">
      <c r="A58" s="31"/>
      <c r="J58" s="31"/>
      <c r="K58" s="31"/>
    </row>
    <row r="59" spans="1:11" x14ac:dyDescent="0.2">
      <c r="A59" s="31"/>
      <c r="J59" s="31"/>
      <c r="K59" s="31"/>
    </row>
    <row r="60" spans="1:11" x14ac:dyDescent="0.2">
      <c r="A60" s="31"/>
      <c r="J60" s="31"/>
      <c r="K60" s="31"/>
    </row>
    <row r="61" spans="1:11" x14ac:dyDescent="0.2">
      <c r="A61" s="31"/>
      <c r="J61" s="31"/>
      <c r="K61" s="31"/>
    </row>
    <row r="62" spans="1:11" x14ac:dyDescent="0.2">
      <c r="A62" s="31"/>
      <c r="J62" s="31"/>
      <c r="K62" s="31"/>
    </row>
    <row r="63" spans="1:11" x14ac:dyDescent="0.2">
      <c r="A63" s="31"/>
      <c r="J63" s="31"/>
      <c r="K63" s="31"/>
    </row>
    <row r="64" spans="1:11" x14ac:dyDescent="0.2">
      <c r="A64" s="31"/>
      <c r="J64" s="31"/>
      <c r="K64" s="31"/>
    </row>
  </sheetData>
  <sheetProtection selectLockedCells="1" selectUnlockedCells="1"/>
  <pageMargins left="0.78749999999999998" right="0.78749999999999998" top="0.92638888888888893" bottom="0.92638888888888893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"/>
  <sheetViews>
    <sheetView showGridLines="0" showRowColHeaders="0" workbookViewId="0">
      <selection activeCell="F36" sqref="F36"/>
    </sheetView>
  </sheetViews>
  <sheetFormatPr defaultColWidth="11.7109375" defaultRowHeight="12.75" x14ac:dyDescent="0.2"/>
  <cols>
    <col min="1" max="16384" width="11.7109375" style="14"/>
  </cols>
  <sheetData/>
  <sheetProtection sheet="1" selectLockedCells="1" selectUnlockedCells="1"/>
  <pageMargins left="0.78749999999999998" right="0.78749999999999998" top="0.92638888888888893" bottom="0.92638888888888893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J31"/>
  <sheetViews>
    <sheetView workbookViewId="0">
      <selection activeCell="K26" sqref="K26"/>
    </sheetView>
  </sheetViews>
  <sheetFormatPr defaultColWidth="11.7109375" defaultRowHeight="12.75" x14ac:dyDescent="0.2"/>
  <cols>
    <col min="1" max="2" width="15.140625" style="14" customWidth="1"/>
    <col min="3" max="3" width="20.42578125" style="14" customWidth="1"/>
    <col min="4" max="4" width="21.42578125" style="14" customWidth="1"/>
    <col min="5" max="5" width="13" style="14" customWidth="1"/>
    <col min="6" max="6" width="11.7109375" style="14"/>
    <col min="7" max="7" width="23.28515625" style="14" customWidth="1"/>
    <col min="8" max="8" width="14" style="14" customWidth="1"/>
    <col min="9" max="9" width="16.5703125" style="16" customWidth="1"/>
    <col min="10" max="10" width="18.85546875" style="14" customWidth="1"/>
    <col min="11" max="16384" width="11.7109375" style="14"/>
  </cols>
  <sheetData>
    <row r="1" spans="1:8" x14ac:dyDescent="0.2">
      <c r="A1" s="41" t="s">
        <v>191</v>
      </c>
      <c r="B1" s="41" t="s">
        <v>192</v>
      </c>
      <c r="C1" s="15"/>
      <c r="E1" s="15"/>
      <c r="H1" s="16"/>
    </row>
    <row r="2" spans="1:8" x14ac:dyDescent="0.2">
      <c r="A2" s="41"/>
      <c r="B2" s="41"/>
      <c r="C2" s="15"/>
      <c r="E2" s="15"/>
      <c r="H2" s="16"/>
    </row>
    <row r="3" spans="1:8" x14ac:dyDescent="0.2">
      <c r="B3" s="15" t="s">
        <v>193</v>
      </c>
      <c r="C3" s="15"/>
      <c r="D3" s="15"/>
      <c r="E3" s="15"/>
    </row>
    <row r="4" spans="1:8" x14ac:dyDescent="0.2">
      <c r="B4" s="15"/>
      <c r="C4" s="15"/>
      <c r="D4" s="15"/>
      <c r="E4" s="15"/>
    </row>
    <row r="5" spans="1:8" x14ac:dyDescent="0.2">
      <c r="B5" s="17" t="s">
        <v>194</v>
      </c>
      <c r="C5" s="17" t="s">
        <v>195</v>
      </c>
      <c r="D5" s="17" t="s">
        <v>111</v>
      </c>
      <c r="E5" s="17" t="s">
        <v>196</v>
      </c>
      <c r="F5" s="15" t="s">
        <v>197</v>
      </c>
    </row>
    <row r="6" spans="1:8" x14ac:dyDescent="0.2">
      <c r="B6" s="61">
        <v>7100</v>
      </c>
      <c r="C6" s="61">
        <v>200</v>
      </c>
      <c r="D6" s="66">
        <v>0.04</v>
      </c>
      <c r="E6" s="66">
        <v>0.1</v>
      </c>
      <c r="F6" s="58" t="s">
        <v>232</v>
      </c>
    </row>
    <row r="7" spans="1:8" x14ac:dyDescent="0.2">
      <c r="B7" s="16">
        <v>7100</v>
      </c>
      <c r="C7" s="16">
        <v>1000</v>
      </c>
      <c r="D7" s="21">
        <v>0.09</v>
      </c>
      <c r="E7" s="21">
        <v>0.21</v>
      </c>
      <c r="F7" s="14" t="s">
        <v>198</v>
      </c>
    </row>
    <row r="8" spans="1:8" x14ac:dyDescent="0.2">
      <c r="B8" s="16">
        <v>7100</v>
      </c>
      <c r="C8" s="16">
        <v>2000</v>
      </c>
      <c r="D8" s="21">
        <v>0.13</v>
      </c>
      <c r="E8" s="21">
        <v>0.31</v>
      </c>
      <c r="F8" s="14" t="s">
        <v>198</v>
      </c>
    </row>
    <row r="9" spans="1:8" x14ac:dyDescent="0.2">
      <c r="B9" s="16">
        <v>7100</v>
      </c>
      <c r="C9" s="16">
        <v>3000</v>
      </c>
      <c r="D9" s="21">
        <v>0.19</v>
      </c>
      <c r="E9" s="21">
        <v>0.42</v>
      </c>
      <c r="F9" s="14" t="s">
        <v>199</v>
      </c>
    </row>
    <row r="10" spans="1:8" x14ac:dyDescent="0.2">
      <c r="B10" s="16">
        <v>7100</v>
      </c>
      <c r="C10" s="16">
        <v>4000</v>
      </c>
      <c r="D10" s="21">
        <v>0.24</v>
      </c>
      <c r="E10" s="21">
        <v>0.52</v>
      </c>
      <c r="F10" s="14" t="s">
        <v>199</v>
      </c>
    </row>
    <row r="11" spans="1:8" x14ac:dyDescent="0.2">
      <c r="B11" s="16">
        <v>7100</v>
      </c>
      <c r="C11" s="16">
        <v>5000</v>
      </c>
      <c r="D11" s="21">
        <v>0.28999999999999998</v>
      </c>
      <c r="E11" s="21">
        <v>0.60000000000000009</v>
      </c>
      <c r="F11" s="14" t="s">
        <v>199</v>
      </c>
    </row>
    <row r="12" spans="1:8" x14ac:dyDescent="0.2">
      <c r="B12" s="14" t="s">
        <v>111</v>
      </c>
      <c r="C12" s="21" t="e">
        <f>VLOOKUP(Electricity_consumption!E16,C6:D11,2,1)</f>
        <v>#DIV/0!</v>
      </c>
      <c r="D12" s="21"/>
      <c r="E12" s="21"/>
    </row>
    <row r="13" spans="1:8" x14ac:dyDescent="0.2">
      <c r="B13" s="14" t="s">
        <v>196</v>
      </c>
      <c r="C13" s="21" t="e">
        <f>VLOOKUP(Electricity_consumption!E16,C6:E11,3,1)</f>
        <v>#DIV/0!</v>
      </c>
      <c r="D13" s="21"/>
      <c r="E13" s="21"/>
    </row>
    <row r="14" spans="1:8" x14ac:dyDescent="0.2">
      <c r="B14" s="16"/>
      <c r="C14" s="16"/>
      <c r="D14" s="21"/>
      <c r="E14" s="21"/>
    </row>
    <row r="15" spans="1:8" x14ac:dyDescent="0.2">
      <c r="B15" s="15" t="s">
        <v>200</v>
      </c>
      <c r="C15" s="16"/>
    </row>
    <row r="16" spans="1:8" x14ac:dyDescent="0.2">
      <c r="C16" s="16"/>
    </row>
    <row r="17" spans="2:10" x14ac:dyDescent="0.2">
      <c r="B17" s="17" t="s">
        <v>194</v>
      </c>
      <c r="C17" s="17" t="s">
        <v>195</v>
      </c>
      <c r="D17" s="17" t="s">
        <v>111</v>
      </c>
      <c r="E17" s="17" t="s">
        <v>196</v>
      </c>
      <c r="F17" s="15" t="s">
        <v>197</v>
      </c>
    </row>
    <row r="18" spans="2:10" x14ac:dyDescent="0.2">
      <c r="B18" s="16">
        <v>17600</v>
      </c>
      <c r="C18" s="16">
        <v>200</v>
      </c>
      <c r="D18" s="21">
        <v>0.02</v>
      </c>
      <c r="E18" s="21">
        <v>0.05</v>
      </c>
      <c r="F18" s="14" t="s">
        <v>232</v>
      </c>
    </row>
    <row r="19" spans="2:10" x14ac:dyDescent="0.2">
      <c r="B19" s="16">
        <v>17600</v>
      </c>
      <c r="C19" s="16">
        <v>1000</v>
      </c>
      <c r="D19" s="21">
        <v>0.03</v>
      </c>
      <c r="E19" s="21">
        <v>7.0000000000000007E-2</v>
      </c>
      <c r="F19" s="14" t="s">
        <v>198</v>
      </c>
    </row>
    <row r="20" spans="2:10" x14ac:dyDescent="0.2">
      <c r="B20" s="16">
        <v>17600</v>
      </c>
      <c r="C20" s="16">
        <v>2000</v>
      </c>
      <c r="D20" s="21">
        <v>0.06</v>
      </c>
      <c r="E20" s="21">
        <v>0.13</v>
      </c>
      <c r="F20" s="14" t="s">
        <v>198</v>
      </c>
    </row>
    <row r="21" spans="2:10" x14ac:dyDescent="0.2">
      <c r="B21" s="16">
        <v>17600</v>
      </c>
      <c r="C21" s="16">
        <v>3000</v>
      </c>
      <c r="D21" s="21">
        <v>0.09</v>
      </c>
      <c r="E21" s="21">
        <v>0.19</v>
      </c>
      <c r="F21" s="14" t="s">
        <v>199</v>
      </c>
    </row>
    <row r="22" spans="2:10" x14ac:dyDescent="0.2">
      <c r="B22" s="16">
        <v>17600</v>
      </c>
      <c r="C22" s="16">
        <v>4000</v>
      </c>
      <c r="D22" s="21">
        <v>0.11</v>
      </c>
      <c r="E22" s="21">
        <v>0.24</v>
      </c>
      <c r="F22" s="14" t="s">
        <v>199</v>
      </c>
    </row>
    <row r="23" spans="2:10" x14ac:dyDescent="0.2">
      <c r="B23" s="16">
        <v>17600</v>
      </c>
      <c r="C23" s="16">
        <v>5000</v>
      </c>
      <c r="D23" s="21">
        <v>0.13</v>
      </c>
      <c r="E23" s="21">
        <v>0.28999999999999998</v>
      </c>
      <c r="F23" s="14" t="s">
        <v>199</v>
      </c>
    </row>
    <row r="24" spans="2:10" x14ac:dyDescent="0.2">
      <c r="B24" s="14" t="s">
        <v>111</v>
      </c>
      <c r="C24" s="21" t="e">
        <f>VLOOKUP(Electricity_consumption!E16,C18:D23,2,1)</f>
        <v>#DIV/0!</v>
      </c>
      <c r="D24" s="21"/>
      <c r="E24" s="21"/>
    </row>
    <row r="25" spans="2:10" x14ac:dyDescent="0.2">
      <c r="B25" s="14" t="s">
        <v>196</v>
      </c>
      <c r="C25" s="21" t="e">
        <f>VLOOKUP(Electricity_consumption!E16,C18:E23,3,1)</f>
        <v>#DIV/0!</v>
      </c>
      <c r="D25" s="21"/>
      <c r="E25" s="21"/>
    </row>
    <row r="26" spans="2:10" x14ac:dyDescent="0.2">
      <c r="C26" s="16"/>
      <c r="D26" s="16"/>
    </row>
    <row r="27" spans="2:10" x14ac:dyDescent="0.2">
      <c r="B27" s="41" t="s">
        <v>201</v>
      </c>
      <c r="C27" s="15" t="s">
        <v>202</v>
      </c>
      <c r="D27" s="15" t="s">
        <v>203</v>
      </c>
      <c r="E27" s="15" t="s">
        <v>204</v>
      </c>
      <c r="H27" s="15" t="s">
        <v>205</v>
      </c>
    </row>
    <row r="28" spans="2:10" x14ac:dyDescent="0.2">
      <c r="B28" s="15" t="s">
        <v>139</v>
      </c>
      <c r="C28" s="15" t="s">
        <v>175</v>
      </c>
      <c r="D28" s="15" t="s">
        <v>175</v>
      </c>
      <c r="E28" s="14" t="s">
        <v>206</v>
      </c>
      <c r="F28" s="14" t="s">
        <v>202</v>
      </c>
      <c r="G28" s="14" t="s">
        <v>207</v>
      </c>
      <c r="H28" s="14" t="s">
        <v>206</v>
      </c>
      <c r="I28" s="42">
        <f>IF(PV_design!K4&gt;10,G29,F29)</f>
        <v>1300</v>
      </c>
      <c r="J28" s="14" t="s">
        <v>208</v>
      </c>
    </row>
    <row r="29" spans="2:10" x14ac:dyDescent="0.2">
      <c r="B29" s="14" t="s">
        <v>209</v>
      </c>
      <c r="C29" s="42">
        <v>1600</v>
      </c>
      <c r="D29" s="42">
        <v>1300</v>
      </c>
      <c r="F29" s="42">
        <f>IF(Inputs!H23="slate",'Look_Up_Tables_-_PV'!C29,'Look_Up_Tables_-_PV'!C30)</f>
        <v>1300</v>
      </c>
      <c r="G29" s="42">
        <f>IF(Inputs!H23="slate",'Look_Up_Tables_-_PV'!D29,'Look_Up_Tables_-_PV'!D30)</f>
        <v>980</v>
      </c>
    </row>
    <row r="30" spans="2:10" x14ac:dyDescent="0.2">
      <c r="B30" s="14" t="s">
        <v>210</v>
      </c>
      <c r="C30" s="42">
        <v>1300</v>
      </c>
      <c r="D30" s="42">
        <v>980</v>
      </c>
    </row>
    <row r="31" spans="2:10" x14ac:dyDescent="0.2">
      <c r="C31" s="42"/>
      <c r="D31" s="42"/>
    </row>
  </sheetData>
  <sheetProtection selectLockedCells="1" selectUnlockedCells="1"/>
  <pageMargins left="0.78749999999999998" right="0.78749999999999998" top="0.92638888888888893" bottom="0.92638888888888893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2:L19"/>
  <sheetViews>
    <sheetView workbookViewId="0">
      <selection activeCell="I7" sqref="I7"/>
    </sheetView>
  </sheetViews>
  <sheetFormatPr defaultColWidth="11.7109375" defaultRowHeight="12.75" x14ac:dyDescent="0.2"/>
  <cols>
    <col min="1" max="2" width="11.7109375" style="14"/>
    <col min="3" max="3" width="22.7109375" style="51" customWidth="1"/>
    <col min="4" max="16384" width="11.7109375" style="14"/>
  </cols>
  <sheetData>
    <row r="2" spans="2:12" ht="14.25" x14ac:dyDescent="0.25">
      <c r="B2" s="41" t="s">
        <v>211</v>
      </c>
      <c r="C2" s="49"/>
      <c r="D2" s="17" t="s">
        <v>212</v>
      </c>
      <c r="E2" s="17" t="s">
        <v>206</v>
      </c>
      <c r="F2" s="17" t="s">
        <v>148</v>
      </c>
      <c r="G2" s="17" t="s">
        <v>213</v>
      </c>
      <c r="H2" s="17" t="s">
        <v>214</v>
      </c>
      <c r="I2" s="17" t="s">
        <v>215</v>
      </c>
      <c r="J2" s="17" t="s">
        <v>149</v>
      </c>
    </row>
    <row r="3" spans="2:12" x14ac:dyDescent="0.2">
      <c r="C3" s="49"/>
      <c r="D3" s="17" t="s">
        <v>216</v>
      </c>
      <c r="E3" s="17" t="s">
        <v>58</v>
      </c>
      <c r="F3" s="17"/>
      <c r="G3" s="17" t="s">
        <v>58</v>
      </c>
      <c r="H3" s="17"/>
      <c r="I3" s="17"/>
      <c r="J3" s="17" t="s">
        <v>175</v>
      </c>
      <c r="L3" s="15"/>
    </row>
    <row r="4" spans="2:12" x14ac:dyDescent="0.2">
      <c r="C4" s="50" t="s">
        <v>63</v>
      </c>
      <c r="D4" s="16">
        <v>0.25319000000000003</v>
      </c>
      <c r="E4" s="30">
        <f>Inputs!C20</f>
        <v>0</v>
      </c>
      <c r="F4" s="21">
        <v>1</v>
      </c>
      <c r="G4" s="16">
        <v>0</v>
      </c>
      <c r="H4" s="16" t="s">
        <v>217</v>
      </c>
      <c r="I4" s="16">
        <v>1</v>
      </c>
      <c r="J4" s="27">
        <v>100</v>
      </c>
      <c r="L4" s="15"/>
    </row>
    <row r="5" spans="2:12" x14ac:dyDescent="0.2">
      <c r="C5" s="50" t="s">
        <v>28</v>
      </c>
      <c r="D5" s="16">
        <v>0.2049</v>
      </c>
      <c r="E5" s="30">
        <v>0.05</v>
      </c>
      <c r="F5" s="21">
        <v>0.9</v>
      </c>
      <c r="G5" s="16">
        <v>0</v>
      </c>
      <c r="H5" s="16" t="s">
        <v>217</v>
      </c>
      <c r="I5" s="16">
        <v>1</v>
      </c>
      <c r="J5" s="27">
        <f>2000/24</f>
        <v>83.333333333333329</v>
      </c>
      <c r="L5" s="15"/>
    </row>
    <row r="6" spans="2:12" x14ac:dyDescent="0.2">
      <c r="C6" s="50" t="s">
        <v>37</v>
      </c>
      <c r="D6" s="16">
        <v>0.2049</v>
      </c>
      <c r="E6" s="30">
        <v>0.05</v>
      </c>
      <c r="F6" s="21">
        <v>0.7</v>
      </c>
      <c r="G6" s="16">
        <v>0</v>
      </c>
      <c r="H6" s="16" t="s">
        <v>217</v>
      </c>
      <c r="I6" s="16">
        <v>1</v>
      </c>
      <c r="J6" s="27">
        <f>2000/24</f>
        <v>83.333333333333329</v>
      </c>
      <c r="L6" s="15"/>
    </row>
    <row r="7" spans="2:12" x14ac:dyDescent="0.2">
      <c r="C7" s="50" t="s">
        <v>218</v>
      </c>
      <c r="D7" s="16">
        <v>5.2999999999999999E-2</v>
      </c>
      <c r="E7" s="30">
        <f>0.063*0.9</f>
        <v>5.67E-2</v>
      </c>
      <c r="F7" s="21">
        <v>0.85</v>
      </c>
      <c r="G7" s="16">
        <f>3.15/100</f>
        <v>3.15E-2</v>
      </c>
      <c r="H7" s="16" t="s">
        <v>219</v>
      </c>
      <c r="I7" s="16">
        <v>4.8</v>
      </c>
      <c r="J7" s="27">
        <v>330</v>
      </c>
      <c r="L7" s="15"/>
    </row>
    <row r="8" spans="2:12" x14ac:dyDescent="0.2">
      <c r="C8" s="50" t="s">
        <v>220</v>
      </c>
      <c r="D8" s="43">
        <f>D4/F9</f>
        <v>7.2340000000000002E-2</v>
      </c>
      <c r="E8" s="30">
        <v>0.2</v>
      </c>
      <c r="F8" s="21">
        <v>3.5</v>
      </c>
      <c r="G8" s="16">
        <v>0</v>
      </c>
      <c r="H8" s="16" t="s">
        <v>217</v>
      </c>
      <c r="I8" s="16">
        <v>1</v>
      </c>
      <c r="J8" s="27">
        <f>3000/7</f>
        <v>428.57142857142856</v>
      </c>
      <c r="L8" s="15"/>
    </row>
    <row r="9" spans="2:12" x14ac:dyDescent="0.2">
      <c r="C9" s="50" t="s">
        <v>221</v>
      </c>
      <c r="D9" s="43">
        <f>D4/F9</f>
        <v>7.2340000000000002E-2</v>
      </c>
      <c r="E9" s="30">
        <f>E4/F9</f>
        <v>0</v>
      </c>
      <c r="F9" s="21">
        <v>3.5</v>
      </c>
      <c r="G9" s="16">
        <f>2.79/100</f>
        <v>2.7900000000000001E-2</v>
      </c>
      <c r="H9" s="16" t="s">
        <v>217</v>
      </c>
      <c r="I9" s="16">
        <v>1</v>
      </c>
      <c r="J9" s="27">
        <f>33000/50</f>
        <v>660</v>
      </c>
      <c r="L9" s="15"/>
    </row>
    <row r="10" spans="2:12" x14ac:dyDescent="0.2">
      <c r="C10" s="50" t="s">
        <v>222</v>
      </c>
      <c r="D10" s="16">
        <v>0.316</v>
      </c>
      <c r="E10" s="30">
        <v>6.7900000000000002E-2</v>
      </c>
      <c r="F10" s="21">
        <v>0.8</v>
      </c>
      <c r="G10" s="16">
        <v>0</v>
      </c>
      <c r="H10" s="16" t="s">
        <v>223</v>
      </c>
      <c r="I10" s="16">
        <v>10</v>
      </c>
      <c r="J10" s="27">
        <v>160</v>
      </c>
      <c r="L10" s="15"/>
    </row>
    <row r="11" spans="2:12" x14ac:dyDescent="0.2">
      <c r="C11" s="50" t="s">
        <v>224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27">
        <v>0</v>
      </c>
      <c r="L11" s="16"/>
    </row>
    <row r="12" spans="2:12" x14ac:dyDescent="0.2">
      <c r="C12" s="49"/>
      <c r="D12" s="16"/>
      <c r="E12" s="16"/>
      <c r="F12" s="16"/>
      <c r="G12" s="16"/>
      <c r="H12" s="16"/>
      <c r="I12" s="16"/>
      <c r="J12" s="27"/>
      <c r="L12" s="16"/>
    </row>
    <row r="13" spans="2:12" x14ac:dyDescent="0.2">
      <c r="L13" s="16"/>
    </row>
    <row r="14" spans="2:12" x14ac:dyDescent="0.2">
      <c r="B14" s="15" t="s">
        <v>225</v>
      </c>
      <c r="C14" s="49" t="str">
        <f>Inputs!C2</f>
        <v>None</v>
      </c>
      <c r="D14" s="16">
        <f>VLOOKUP(C14,C4:D11,2,0)</f>
        <v>0</v>
      </c>
      <c r="E14" s="30">
        <f>VLOOKUP($C14,$C4:$E11,3,0)</f>
        <v>0</v>
      </c>
      <c r="F14" s="21">
        <f>VLOOKUP($C14,$C4:$F11,4,0)</f>
        <v>0</v>
      </c>
      <c r="G14" s="30">
        <f>VLOOKUP($C14,$C4:$G11,5,0)</f>
        <v>0</v>
      </c>
      <c r="H14" s="30">
        <f>VLOOKUP($C14,$C4:$H11,6,0)</f>
        <v>0</v>
      </c>
      <c r="I14" s="30">
        <f>VLOOKUP($C14,$C4:$I11,7,0)</f>
        <v>0</v>
      </c>
      <c r="J14" s="27">
        <f>VLOOKUP($C14,$C4:$J11,8,0)</f>
        <v>0</v>
      </c>
      <c r="K14" s="27"/>
      <c r="L14" s="16"/>
    </row>
    <row r="15" spans="2:12" x14ac:dyDescent="0.2">
      <c r="B15" s="15"/>
      <c r="C15" s="49"/>
      <c r="D15" s="16"/>
      <c r="E15" s="16"/>
      <c r="F15" s="16"/>
      <c r="G15" s="16"/>
      <c r="H15" s="16"/>
      <c r="I15" s="16"/>
      <c r="J15" s="27"/>
      <c r="L15" s="16"/>
    </row>
    <row r="16" spans="2:12" x14ac:dyDescent="0.2">
      <c r="B16" s="15" t="s">
        <v>226</v>
      </c>
      <c r="C16" s="51" t="str">
        <f>Summary!D20</f>
        <v>None</v>
      </c>
      <c r="D16" s="16">
        <f>VLOOKUP(C16,C4:D11,2,0)</f>
        <v>0</v>
      </c>
      <c r="E16" s="30">
        <f>VLOOKUP($C16,$C4:$E11,3,0)</f>
        <v>0</v>
      </c>
      <c r="F16" s="21">
        <f>VLOOKUP($C16,$C4:$F11,4,0)</f>
        <v>0</v>
      </c>
      <c r="G16" s="30">
        <f>VLOOKUP($C16,$C4:$G11,5,0)</f>
        <v>0</v>
      </c>
      <c r="H16" s="30">
        <f>VLOOKUP($C16,$C4:$H11,6,0)</f>
        <v>0</v>
      </c>
      <c r="I16" s="30">
        <f>VLOOKUP($C16,$C4:$I11,7,0)</f>
        <v>0</v>
      </c>
      <c r="J16" s="44">
        <f>VLOOKUP($C16,$C4:$J11,8,0)</f>
        <v>0</v>
      </c>
      <c r="L16" s="16"/>
    </row>
    <row r="17" spans="5:12" x14ac:dyDescent="0.2">
      <c r="L17" s="16"/>
    </row>
    <row r="18" spans="5:12" x14ac:dyDescent="0.2">
      <c r="E18" s="30"/>
      <c r="F18" s="30"/>
      <c r="G18" s="21"/>
      <c r="H18" s="16"/>
      <c r="I18" s="16"/>
      <c r="J18" s="27"/>
      <c r="K18" s="16"/>
      <c r="L18" s="16"/>
    </row>
    <row r="19" spans="5:12" x14ac:dyDescent="0.2">
      <c r="J19" s="16"/>
    </row>
  </sheetData>
  <sheetProtection selectLockedCells="1" selectUnlockedCells="1"/>
  <pageMargins left="0.78749999999999998" right="0.78749999999999998" top="0.92638888888888893" bottom="0.92638888888888893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P94"/>
  <sheetViews>
    <sheetView workbookViewId="0">
      <selection activeCell="C36" sqref="C36"/>
    </sheetView>
  </sheetViews>
  <sheetFormatPr defaultColWidth="11.7109375" defaultRowHeight="12.75" x14ac:dyDescent="0.2"/>
  <cols>
    <col min="1" max="16384" width="11.7109375" style="14"/>
  </cols>
  <sheetData>
    <row r="1" spans="1:42" ht="15" x14ac:dyDescent="0.2">
      <c r="A1" s="170" t="s">
        <v>227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45"/>
      <c r="AM1" s="45"/>
      <c r="AN1" s="45"/>
    </row>
    <row r="2" spans="1:42" ht="15" x14ac:dyDescent="0.2">
      <c r="A2" s="64" t="s">
        <v>228</v>
      </c>
      <c r="B2" s="64">
        <v>0</v>
      </c>
      <c r="C2" s="64">
        <v>5</v>
      </c>
      <c r="D2" s="64">
        <v>10</v>
      </c>
      <c r="E2" s="64">
        <v>15</v>
      </c>
      <c r="F2" s="64">
        <v>20</v>
      </c>
      <c r="G2" s="64">
        <v>25</v>
      </c>
      <c r="H2" s="64">
        <v>30</v>
      </c>
      <c r="I2" s="64">
        <v>35</v>
      </c>
      <c r="J2" s="64">
        <v>40</v>
      </c>
      <c r="K2" s="64">
        <v>45</v>
      </c>
      <c r="L2" s="64">
        <v>50</v>
      </c>
      <c r="M2" s="64">
        <v>55</v>
      </c>
      <c r="N2" s="64">
        <v>60</v>
      </c>
      <c r="O2" s="64">
        <v>65</v>
      </c>
      <c r="P2" s="64">
        <v>70</v>
      </c>
      <c r="Q2" s="64">
        <v>75</v>
      </c>
      <c r="R2" s="64">
        <v>80</v>
      </c>
      <c r="S2" s="64">
        <v>85</v>
      </c>
      <c r="T2" s="64">
        <v>90</v>
      </c>
      <c r="U2" s="64">
        <v>95</v>
      </c>
      <c r="V2" s="64">
        <v>100</v>
      </c>
      <c r="W2" s="64">
        <v>105</v>
      </c>
      <c r="X2" s="64">
        <v>110</v>
      </c>
      <c r="Y2" s="64">
        <v>115</v>
      </c>
      <c r="Z2" s="64">
        <v>120</v>
      </c>
      <c r="AA2" s="64">
        <v>125</v>
      </c>
      <c r="AB2" s="64">
        <v>130</v>
      </c>
      <c r="AC2" s="64">
        <v>135</v>
      </c>
      <c r="AD2" s="64">
        <v>140</v>
      </c>
      <c r="AE2" s="64">
        <v>145</v>
      </c>
      <c r="AF2" s="64">
        <v>150</v>
      </c>
      <c r="AG2" s="64">
        <v>155</v>
      </c>
      <c r="AH2" s="64">
        <v>160</v>
      </c>
      <c r="AI2" s="64">
        <v>165</v>
      </c>
      <c r="AJ2" s="64">
        <v>170</v>
      </c>
      <c r="AK2" s="64">
        <v>175</v>
      </c>
      <c r="AL2" s="45"/>
      <c r="AM2" s="45"/>
      <c r="AN2" s="46" t="str">
        <f>PV_design!C3</f>
        <v>Aisle</v>
      </c>
      <c r="AO2" s="16" t="str">
        <f>PV_design!C6</f>
        <v>Other</v>
      </c>
      <c r="AP2" s="16">
        <f>PV_design!C7</f>
        <v>0</v>
      </c>
    </row>
    <row r="3" spans="1:42" ht="15" x14ac:dyDescent="0.2">
      <c r="A3" s="64">
        <v>0</v>
      </c>
      <c r="B3" s="47">
        <v>789</v>
      </c>
      <c r="C3" s="47">
        <v>789</v>
      </c>
      <c r="D3" s="47">
        <v>789</v>
      </c>
      <c r="E3" s="47">
        <v>789</v>
      </c>
      <c r="F3" s="47">
        <v>789</v>
      </c>
      <c r="G3" s="47">
        <v>789</v>
      </c>
      <c r="H3" s="47">
        <v>789</v>
      </c>
      <c r="I3" s="47">
        <v>789</v>
      </c>
      <c r="J3" s="47">
        <v>789</v>
      </c>
      <c r="K3" s="47">
        <v>789</v>
      </c>
      <c r="L3" s="47">
        <v>789</v>
      </c>
      <c r="M3" s="47">
        <v>789</v>
      </c>
      <c r="N3" s="47">
        <v>789</v>
      </c>
      <c r="O3" s="47">
        <v>789</v>
      </c>
      <c r="P3" s="47">
        <v>789</v>
      </c>
      <c r="Q3" s="47">
        <v>789</v>
      </c>
      <c r="R3" s="47">
        <v>789</v>
      </c>
      <c r="S3" s="47">
        <v>789</v>
      </c>
      <c r="T3" s="47">
        <v>789</v>
      </c>
      <c r="U3" s="47">
        <v>789</v>
      </c>
      <c r="V3" s="47">
        <v>789</v>
      </c>
      <c r="W3" s="47">
        <v>789</v>
      </c>
      <c r="X3" s="47">
        <v>789</v>
      </c>
      <c r="Y3" s="47">
        <v>789</v>
      </c>
      <c r="Z3" s="47">
        <v>789</v>
      </c>
      <c r="AA3" s="47">
        <v>789</v>
      </c>
      <c r="AB3" s="47">
        <v>789</v>
      </c>
      <c r="AC3" s="47">
        <v>789</v>
      </c>
      <c r="AD3" s="47">
        <v>789</v>
      </c>
      <c r="AE3" s="47">
        <v>789</v>
      </c>
      <c r="AF3" s="47">
        <v>789</v>
      </c>
      <c r="AG3" s="47">
        <v>789</v>
      </c>
      <c r="AH3" s="47">
        <v>789</v>
      </c>
      <c r="AI3" s="47">
        <v>789</v>
      </c>
      <c r="AJ3" s="47">
        <v>789</v>
      </c>
      <c r="AK3" s="47">
        <v>789</v>
      </c>
      <c r="AL3" s="45"/>
      <c r="AM3" s="45" t="s">
        <v>67</v>
      </c>
      <c r="AN3" s="46">
        <f>Inputs!J22</f>
        <v>0</v>
      </c>
      <c r="AO3" s="46">
        <f>Inputs!J21</f>
        <v>0</v>
      </c>
      <c r="AP3" s="46">
        <f>Inputs!J22</f>
        <v>0</v>
      </c>
    </row>
    <row r="4" spans="1:42" ht="15" x14ac:dyDescent="0.2">
      <c r="A4" s="64">
        <v>1</v>
      </c>
      <c r="B4" s="47">
        <v>796</v>
      </c>
      <c r="C4" s="47">
        <v>796</v>
      </c>
      <c r="D4" s="47">
        <v>796</v>
      </c>
      <c r="E4" s="47">
        <v>795</v>
      </c>
      <c r="F4" s="47">
        <v>795</v>
      </c>
      <c r="G4" s="47">
        <v>795</v>
      </c>
      <c r="H4" s="47">
        <v>795</v>
      </c>
      <c r="I4" s="47">
        <v>794</v>
      </c>
      <c r="J4" s="47">
        <v>794</v>
      </c>
      <c r="K4" s="47">
        <v>794</v>
      </c>
      <c r="L4" s="47">
        <v>793</v>
      </c>
      <c r="M4" s="47">
        <v>793</v>
      </c>
      <c r="N4" s="47">
        <v>792</v>
      </c>
      <c r="O4" s="47">
        <v>792</v>
      </c>
      <c r="P4" s="47">
        <v>791</v>
      </c>
      <c r="Q4" s="47">
        <v>790</v>
      </c>
      <c r="R4" s="47">
        <v>790</v>
      </c>
      <c r="S4" s="47">
        <v>789</v>
      </c>
      <c r="T4" s="47">
        <v>789</v>
      </c>
      <c r="U4" s="47">
        <v>788</v>
      </c>
      <c r="V4" s="47">
        <v>787</v>
      </c>
      <c r="W4" s="47">
        <v>787</v>
      </c>
      <c r="X4" s="47">
        <v>786</v>
      </c>
      <c r="Y4" s="47">
        <v>785</v>
      </c>
      <c r="Z4" s="47">
        <v>785</v>
      </c>
      <c r="AA4" s="47">
        <v>784</v>
      </c>
      <c r="AB4" s="47">
        <v>784</v>
      </c>
      <c r="AC4" s="47">
        <v>783</v>
      </c>
      <c r="AD4" s="47">
        <v>783</v>
      </c>
      <c r="AE4" s="47">
        <v>783</v>
      </c>
      <c r="AF4" s="47">
        <v>782</v>
      </c>
      <c r="AG4" s="47">
        <v>782</v>
      </c>
      <c r="AH4" s="47">
        <v>782</v>
      </c>
      <c r="AI4" s="47">
        <v>782</v>
      </c>
      <c r="AJ4" s="47">
        <v>781</v>
      </c>
      <c r="AK4" s="47">
        <v>781</v>
      </c>
      <c r="AL4" s="45"/>
      <c r="AM4" s="45" t="s">
        <v>68</v>
      </c>
      <c r="AN4" s="46">
        <f>Inputs!K22</f>
        <v>0</v>
      </c>
      <c r="AO4" s="46">
        <f>Inputs!K21</f>
        <v>0</v>
      </c>
      <c r="AP4" s="46">
        <f>Inputs!K22</f>
        <v>0</v>
      </c>
    </row>
    <row r="5" spans="1:42" ht="15" x14ac:dyDescent="0.2">
      <c r="A5" s="64">
        <v>2</v>
      </c>
      <c r="B5" s="47">
        <v>803</v>
      </c>
      <c r="C5" s="47">
        <v>803</v>
      </c>
      <c r="D5" s="47">
        <v>802</v>
      </c>
      <c r="E5" s="47">
        <v>802</v>
      </c>
      <c r="F5" s="47">
        <v>802</v>
      </c>
      <c r="G5" s="47">
        <v>801</v>
      </c>
      <c r="H5" s="47">
        <v>801</v>
      </c>
      <c r="I5" s="47">
        <v>800</v>
      </c>
      <c r="J5" s="47">
        <v>799</v>
      </c>
      <c r="K5" s="47">
        <v>799</v>
      </c>
      <c r="L5" s="47">
        <v>798</v>
      </c>
      <c r="M5" s="47">
        <v>797</v>
      </c>
      <c r="N5" s="47">
        <v>796</v>
      </c>
      <c r="O5" s="47">
        <v>794</v>
      </c>
      <c r="P5" s="47">
        <v>793</v>
      </c>
      <c r="Q5" s="47">
        <v>792</v>
      </c>
      <c r="R5" s="47">
        <v>791</v>
      </c>
      <c r="S5" s="47">
        <v>790</v>
      </c>
      <c r="T5" s="47">
        <v>788</v>
      </c>
      <c r="U5" s="47">
        <v>787</v>
      </c>
      <c r="V5" s="47">
        <v>786</v>
      </c>
      <c r="W5" s="47">
        <v>785</v>
      </c>
      <c r="X5" s="47">
        <v>783</v>
      </c>
      <c r="Y5" s="47">
        <v>782</v>
      </c>
      <c r="Z5" s="47">
        <v>781</v>
      </c>
      <c r="AA5" s="47">
        <v>780</v>
      </c>
      <c r="AB5" s="47">
        <v>779</v>
      </c>
      <c r="AC5" s="47">
        <v>778</v>
      </c>
      <c r="AD5" s="47">
        <v>777</v>
      </c>
      <c r="AE5" s="47">
        <v>777</v>
      </c>
      <c r="AF5" s="47">
        <v>776</v>
      </c>
      <c r="AG5" s="47">
        <v>775</v>
      </c>
      <c r="AH5" s="47">
        <v>775</v>
      </c>
      <c r="AI5" s="47">
        <v>774</v>
      </c>
      <c r="AJ5" s="47">
        <v>774</v>
      </c>
      <c r="AK5" s="47">
        <v>774</v>
      </c>
      <c r="AL5" s="45"/>
      <c r="AM5" s="45"/>
      <c r="AN5" s="46"/>
      <c r="AO5" s="46"/>
      <c r="AP5" s="46"/>
    </row>
    <row r="6" spans="1:42" ht="15" x14ac:dyDescent="0.25">
      <c r="A6" s="64">
        <v>3</v>
      </c>
      <c r="B6" s="47">
        <v>810</v>
      </c>
      <c r="C6" s="47">
        <v>809</v>
      </c>
      <c r="D6" s="47">
        <v>809</v>
      </c>
      <c r="E6" s="47">
        <v>809</v>
      </c>
      <c r="F6" s="47">
        <v>808</v>
      </c>
      <c r="G6" s="47">
        <v>808</v>
      </c>
      <c r="H6" s="47">
        <v>807</v>
      </c>
      <c r="I6" s="47">
        <v>806</v>
      </c>
      <c r="J6" s="47">
        <v>805</v>
      </c>
      <c r="K6" s="47">
        <v>803</v>
      </c>
      <c r="L6" s="47">
        <v>802</v>
      </c>
      <c r="M6" s="47">
        <v>800</v>
      </c>
      <c r="N6" s="47">
        <v>799</v>
      </c>
      <c r="O6" s="47">
        <v>797</v>
      </c>
      <c r="P6" s="47">
        <v>796</v>
      </c>
      <c r="Q6" s="47">
        <v>794</v>
      </c>
      <c r="R6" s="47">
        <v>792</v>
      </c>
      <c r="S6" s="47">
        <v>790</v>
      </c>
      <c r="T6" s="47">
        <v>788</v>
      </c>
      <c r="U6" s="47">
        <v>786</v>
      </c>
      <c r="V6" s="47">
        <v>784</v>
      </c>
      <c r="W6" s="47">
        <v>783</v>
      </c>
      <c r="X6" s="47">
        <v>781</v>
      </c>
      <c r="Y6" s="47">
        <v>779</v>
      </c>
      <c r="Z6" s="47">
        <v>777</v>
      </c>
      <c r="AA6" s="47">
        <v>776</v>
      </c>
      <c r="AB6" s="47">
        <v>774</v>
      </c>
      <c r="AC6" s="47">
        <v>773</v>
      </c>
      <c r="AD6" s="47">
        <v>772</v>
      </c>
      <c r="AE6" s="47">
        <v>770</v>
      </c>
      <c r="AF6" s="47">
        <v>769</v>
      </c>
      <c r="AG6" s="47">
        <v>768</v>
      </c>
      <c r="AH6" s="47">
        <v>768</v>
      </c>
      <c r="AI6" s="47">
        <v>767</v>
      </c>
      <c r="AJ6" s="47">
        <v>767</v>
      </c>
      <c r="AK6" s="47">
        <v>766</v>
      </c>
      <c r="AL6" s="45"/>
      <c r="AM6" s="45" t="s">
        <v>229</v>
      </c>
      <c r="AN6" s="48">
        <f>VLOOKUP(AN4,PV_irradiance!A2:AK93,AN3/5+2,0)</f>
        <v>789</v>
      </c>
      <c r="AO6" s="48">
        <f>VLOOKUP(AO4,PV_irradiance!A2:AK93,AO3/5+2,0)</f>
        <v>789</v>
      </c>
      <c r="AP6" s="48">
        <f>VLOOKUP(AP4,PV_irradiance!A2:AM93,AP3/5+2,0)</f>
        <v>789</v>
      </c>
    </row>
    <row r="7" spans="1:42" ht="15" x14ac:dyDescent="0.25">
      <c r="A7" s="64">
        <v>4</v>
      </c>
      <c r="B7" s="47">
        <v>816</v>
      </c>
      <c r="C7" s="47">
        <v>816</v>
      </c>
      <c r="D7" s="47">
        <v>816</v>
      </c>
      <c r="E7" s="47">
        <v>815</v>
      </c>
      <c r="F7" s="47">
        <v>815</v>
      </c>
      <c r="G7" s="47">
        <v>814</v>
      </c>
      <c r="H7" s="47">
        <v>812</v>
      </c>
      <c r="I7" s="47">
        <v>811</v>
      </c>
      <c r="J7" s="47">
        <v>810</v>
      </c>
      <c r="K7" s="47">
        <v>808</v>
      </c>
      <c r="L7" s="47">
        <v>806</v>
      </c>
      <c r="M7" s="47">
        <v>804</v>
      </c>
      <c r="N7" s="47">
        <v>802</v>
      </c>
      <c r="O7" s="47">
        <v>800</v>
      </c>
      <c r="P7" s="47">
        <v>798</v>
      </c>
      <c r="Q7" s="47">
        <v>795</v>
      </c>
      <c r="R7" s="47">
        <v>793</v>
      </c>
      <c r="S7" s="47">
        <v>790</v>
      </c>
      <c r="T7" s="47">
        <v>788</v>
      </c>
      <c r="U7" s="47">
        <v>785</v>
      </c>
      <c r="V7" s="47">
        <v>783</v>
      </c>
      <c r="W7" s="47">
        <v>780</v>
      </c>
      <c r="X7" s="47">
        <v>778</v>
      </c>
      <c r="Y7" s="47">
        <v>776</v>
      </c>
      <c r="Z7" s="47">
        <v>773</v>
      </c>
      <c r="AA7" s="47">
        <v>771</v>
      </c>
      <c r="AB7" s="47">
        <v>769</v>
      </c>
      <c r="AC7" s="47">
        <v>767</v>
      </c>
      <c r="AD7" s="47">
        <v>766</v>
      </c>
      <c r="AE7" s="47">
        <v>764</v>
      </c>
      <c r="AF7" s="47">
        <v>763</v>
      </c>
      <c r="AG7" s="47">
        <v>762</v>
      </c>
      <c r="AH7" s="47">
        <v>761</v>
      </c>
      <c r="AI7" s="47">
        <v>760</v>
      </c>
      <c r="AJ7" s="47">
        <v>759</v>
      </c>
      <c r="AK7" s="47">
        <v>759</v>
      </c>
      <c r="AL7" s="45"/>
      <c r="AN7" s="45"/>
      <c r="AO7" s="48"/>
    </row>
    <row r="8" spans="1:42" ht="15" x14ac:dyDescent="0.2">
      <c r="A8" s="64">
        <v>5</v>
      </c>
      <c r="B8" s="47">
        <v>823</v>
      </c>
      <c r="C8" s="47">
        <v>823</v>
      </c>
      <c r="D8" s="47">
        <v>822</v>
      </c>
      <c r="E8" s="47">
        <v>822</v>
      </c>
      <c r="F8" s="47">
        <v>821</v>
      </c>
      <c r="G8" s="47">
        <v>819</v>
      </c>
      <c r="H8" s="47">
        <v>818</v>
      </c>
      <c r="I8" s="47">
        <v>816</v>
      </c>
      <c r="J8" s="47">
        <v>815</v>
      </c>
      <c r="K8" s="47">
        <v>813</v>
      </c>
      <c r="L8" s="47">
        <v>810</v>
      </c>
      <c r="M8" s="47">
        <v>808</v>
      </c>
      <c r="N8" s="47">
        <v>805</v>
      </c>
      <c r="O8" s="47">
        <v>803</v>
      </c>
      <c r="P8" s="47">
        <v>800</v>
      </c>
      <c r="Q8" s="47">
        <v>797</v>
      </c>
      <c r="R8" s="47">
        <v>794</v>
      </c>
      <c r="S8" s="47">
        <v>791</v>
      </c>
      <c r="T8" s="47">
        <v>787</v>
      </c>
      <c r="U8" s="47">
        <v>784</v>
      </c>
      <c r="V8" s="47">
        <v>781</v>
      </c>
      <c r="W8" s="47">
        <v>778</v>
      </c>
      <c r="X8" s="47">
        <v>775</v>
      </c>
      <c r="Y8" s="47">
        <v>772</v>
      </c>
      <c r="Z8" s="47">
        <v>769</v>
      </c>
      <c r="AA8" s="47">
        <v>767</v>
      </c>
      <c r="AB8" s="47">
        <v>764</v>
      </c>
      <c r="AC8" s="47">
        <v>762</v>
      </c>
      <c r="AD8" s="47">
        <v>760</v>
      </c>
      <c r="AE8" s="47">
        <v>758</v>
      </c>
      <c r="AF8" s="47">
        <v>756</v>
      </c>
      <c r="AG8" s="47">
        <v>755</v>
      </c>
      <c r="AH8" s="47">
        <v>753</v>
      </c>
      <c r="AI8" s="47">
        <v>752</v>
      </c>
      <c r="AJ8" s="47">
        <v>752</v>
      </c>
      <c r="AK8" s="47">
        <v>751</v>
      </c>
      <c r="AL8" s="45"/>
      <c r="AM8" s="45"/>
      <c r="AN8" s="45"/>
    </row>
    <row r="9" spans="1:42" ht="15" x14ac:dyDescent="0.2">
      <c r="A9" s="64">
        <v>6</v>
      </c>
      <c r="B9" s="47">
        <v>829</v>
      </c>
      <c r="C9" s="47">
        <v>829</v>
      </c>
      <c r="D9" s="47">
        <v>828</v>
      </c>
      <c r="E9" s="47">
        <v>828</v>
      </c>
      <c r="F9" s="47">
        <v>827</v>
      </c>
      <c r="G9" s="47">
        <v>825</v>
      </c>
      <c r="H9" s="47">
        <v>824</v>
      </c>
      <c r="I9" s="47">
        <v>822</v>
      </c>
      <c r="J9" s="47">
        <v>819</v>
      </c>
      <c r="K9" s="47">
        <v>817</v>
      </c>
      <c r="L9" s="47">
        <v>814</v>
      </c>
      <c r="M9" s="47">
        <v>811</v>
      </c>
      <c r="N9" s="47">
        <v>808</v>
      </c>
      <c r="O9" s="47">
        <v>805</v>
      </c>
      <c r="P9" s="47">
        <v>802</v>
      </c>
      <c r="Q9" s="47">
        <v>798</v>
      </c>
      <c r="R9" s="47">
        <v>795</v>
      </c>
      <c r="S9" s="47">
        <v>791</v>
      </c>
      <c r="T9" s="47">
        <v>787</v>
      </c>
      <c r="U9" s="47">
        <v>783</v>
      </c>
      <c r="V9" s="47">
        <v>780</v>
      </c>
      <c r="W9" s="47">
        <v>776</v>
      </c>
      <c r="X9" s="47">
        <v>772</v>
      </c>
      <c r="Y9" s="47">
        <v>769</v>
      </c>
      <c r="Z9" s="47">
        <v>765</v>
      </c>
      <c r="AA9" s="47">
        <v>762</v>
      </c>
      <c r="AB9" s="47">
        <v>759</v>
      </c>
      <c r="AC9" s="47">
        <v>756</v>
      </c>
      <c r="AD9" s="47">
        <v>754</v>
      </c>
      <c r="AE9" s="47">
        <v>751</v>
      </c>
      <c r="AF9" s="47">
        <v>749</v>
      </c>
      <c r="AG9" s="47">
        <v>747</v>
      </c>
      <c r="AH9" s="47">
        <v>746</v>
      </c>
      <c r="AI9" s="47">
        <v>745</v>
      </c>
      <c r="AJ9" s="47">
        <v>744</v>
      </c>
      <c r="AK9" s="47">
        <v>743</v>
      </c>
      <c r="AL9" s="45"/>
      <c r="AM9" s="45"/>
      <c r="AN9" s="45"/>
    </row>
    <row r="10" spans="1:42" ht="15" x14ac:dyDescent="0.2">
      <c r="A10" s="64">
        <v>7</v>
      </c>
      <c r="B10" s="47">
        <v>835</v>
      </c>
      <c r="C10" s="47">
        <v>835</v>
      </c>
      <c r="D10" s="47">
        <v>835</v>
      </c>
      <c r="E10" s="47">
        <v>834</v>
      </c>
      <c r="F10" s="47">
        <v>832</v>
      </c>
      <c r="G10" s="47">
        <v>831</v>
      </c>
      <c r="H10" s="47">
        <v>829</v>
      </c>
      <c r="I10" s="47">
        <v>827</v>
      </c>
      <c r="J10" s="47">
        <v>824</v>
      </c>
      <c r="K10" s="47">
        <v>821</v>
      </c>
      <c r="L10" s="47">
        <v>818</v>
      </c>
      <c r="M10" s="47">
        <v>815</v>
      </c>
      <c r="N10" s="47">
        <v>811</v>
      </c>
      <c r="O10" s="47">
        <v>807</v>
      </c>
      <c r="P10" s="47">
        <v>804</v>
      </c>
      <c r="Q10" s="47">
        <v>799</v>
      </c>
      <c r="R10" s="47">
        <v>795</v>
      </c>
      <c r="S10" s="47">
        <v>791</v>
      </c>
      <c r="T10" s="47">
        <v>787</v>
      </c>
      <c r="U10" s="47">
        <v>782</v>
      </c>
      <c r="V10" s="47">
        <v>778</v>
      </c>
      <c r="W10" s="47">
        <v>774</v>
      </c>
      <c r="X10" s="47">
        <v>769</v>
      </c>
      <c r="Y10" s="47">
        <v>765</v>
      </c>
      <c r="Z10" s="47">
        <v>761</v>
      </c>
      <c r="AA10" s="47">
        <v>758</v>
      </c>
      <c r="AB10" s="47">
        <v>754</v>
      </c>
      <c r="AC10" s="47">
        <v>751</v>
      </c>
      <c r="AD10" s="47">
        <v>748</v>
      </c>
      <c r="AE10" s="47">
        <v>745</v>
      </c>
      <c r="AF10" s="47">
        <v>742</v>
      </c>
      <c r="AG10" s="47">
        <v>740</v>
      </c>
      <c r="AH10" s="47">
        <v>739</v>
      </c>
      <c r="AI10" s="47">
        <v>737</v>
      </c>
      <c r="AJ10" s="47">
        <v>736</v>
      </c>
      <c r="AK10" s="47">
        <v>736</v>
      </c>
      <c r="AL10" s="45"/>
      <c r="AM10" s="45"/>
      <c r="AN10" s="45"/>
    </row>
    <row r="11" spans="1:42" ht="15" x14ac:dyDescent="0.2">
      <c r="A11" s="64">
        <v>8</v>
      </c>
      <c r="B11" s="47">
        <v>841</v>
      </c>
      <c r="C11" s="47">
        <v>841</v>
      </c>
      <c r="D11" s="47">
        <v>841</v>
      </c>
      <c r="E11" s="47">
        <v>840</v>
      </c>
      <c r="F11" s="47">
        <v>838</v>
      </c>
      <c r="G11" s="47">
        <v>836</v>
      </c>
      <c r="H11" s="47">
        <v>834</v>
      </c>
      <c r="I11" s="47">
        <v>832</v>
      </c>
      <c r="J11" s="47">
        <v>829</v>
      </c>
      <c r="K11" s="47">
        <v>825</v>
      </c>
      <c r="L11" s="47">
        <v>822</v>
      </c>
      <c r="M11" s="47">
        <v>818</v>
      </c>
      <c r="N11" s="47">
        <v>814</v>
      </c>
      <c r="O11" s="47">
        <v>810</v>
      </c>
      <c r="P11" s="47">
        <v>805</v>
      </c>
      <c r="Q11" s="47">
        <v>801</v>
      </c>
      <c r="R11" s="47">
        <v>796</v>
      </c>
      <c r="S11" s="47">
        <v>791</v>
      </c>
      <c r="T11" s="47">
        <v>786</v>
      </c>
      <c r="U11" s="47">
        <v>781</v>
      </c>
      <c r="V11" s="47">
        <v>776</v>
      </c>
      <c r="W11" s="47">
        <v>771</v>
      </c>
      <c r="X11" s="47">
        <v>766</v>
      </c>
      <c r="Y11" s="47">
        <v>762</v>
      </c>
      <c r="Z11" s="47">
        <v>757</v>
      </c>
      <c r="AA11" s="47">
        <v>753</v>
      </c>
      <c r="AB11" s="47">
        <v>749</v>
      </c>
      <c r="AC11" s="47">
        <v>745</v>
      </c>
      <c r="AD11" s="47">
        <v>741</v>
      </c>
      <c r="AE11" s="47">
        <v>738</v>
      </c>
      <c r="AF11" s="47">
        <v>736</v>
      </c>
      <c r="AG11" s="47">
        <v>733</v>
      </c>
      <c r="AH11" s="47">
        <v>731</v>
      </c>
      <c r="AI11" s="47">
        <v>730</v>
      </c>
      <c r="AJ11" s="47">
        <v>728</v>
      </c>
      <c r="AK11" s="47">
        <v>728</v>
      </c>
      <c r="AL11" s="45"/>
      <c r="AM11" s="45"/>
      <c r="AN11" s="45"/>
    </row>
    <row r="12" spans="1:42" ht="15" x14ac:dyDescent="0.2">
      <c r="A12" s="64">
        <v>9</v>
      </c>
      <c r="B12" s="47">
        <v>847</v>
      </c>
      <c r="C12" s="47">
        <v>847</v>
      </c>
      <c r="D12" s="47">
        <v>846</v>
      </c>
      <c r="E12" s="47">
        <v>845</v>
      </c>
      <c r="F12" s="47">
        <v>844</v>
      </c>
      <c r="G12" s="47">
        <v>842</v>
      </c>
      <c r="H12" s="47">
        <v>839</v>
      </c>
      <c r="I12" s="47">
        <v>836</v>
      </c>
      <c r="J12" s="47">
        <v>833</v>
      </c>
      <c r="K12" s="47">
        <v>830</v>
      </c>
      <c r="L12" s="47">
        <v>826</v>
      </c>
      <c r="M12" s="47">
        <v>821</v>
      </c>
      <c r="N12" s="47">
        <v>817</v>
      </c>
      <c r="O12" s="47">
        <v>812</v>
      </c>
      <c r="P12" s="47">
        <v>807</v>
      </c>
      <c r="Q12" s="47">
        <v>802</v>
      </c>
      <c r="R12" s="47">
        <v>796</v>
      </c>
      <c r="S12" s="47">
        <v>791</v>
      </c>
      <c r="T12" s="47">
        <v>785</v>
      </c>
      <c r="U12" s="47">
        <v>780</v>
      </c>
      <c r="V12" s="47">
        <v>774</v>
      </c>
      <c r="W12" s="47">
        <v>769</v>
      </c>
      <c r="X12" s="47">
        <v>763</v>
      </c>
      <c r="Y12" s="47">
        <v>758</v>
      </c>
      <c r="Z12" s="47">
        <v>753</v>
      </c>
      <c r="AA12" s="47">
        <v>748</v>
      </c>
      <c r="AB12" s="47">
        <v>744</v>
      </c>
      <c r="AC12" s="47">
        <v>739</v>
      </c>
      <c r="AD12" s="47">
        <v>735</v>
      </c>
      <c r="AE12" s="47">
        <v>732</v>
      </c>
      <c r="AF12" s="47">
        <v>729</v>
      </c>
      <c r="AG12" s="47">
        <v>726</v>
      </c>
      <c r="AH12" s="47">
        <v>724</v>
      </c>
      <c r="AI12" s="47">
        <v>722</v>
      </c>
      <c r="AJ12" s="47">
        <v>721</v>
      </c>
      <c r="AK12" s="47">
        <v>720</v>
      </c>
      <c r="AL12" s="45"/>
      <c r="AM12" s="45"/>
      <c r="AN12" s="45"/>
    </row>
    <row r="13" spans="1:42" ht="15" x14ac:dyDescent="0.2">
      <c r="A13" s="64">
        <v>10</v>
      </c>
      <c r="B13" s="47">
        <v>853</v>
      </c>
      <c r="C13" s="47">
        <v>853</v>
      </c>
      <c r="D13" s="47">
        <v>852</v>
      </c>
      <c r="E13" s="47">
        <v>851</v>
      </c>
      <c r="F13" s="47">
        <v>849</v>
      </c>
      <c r="G13" s="47">
        <v>847</v>
      </c>
      <c r="H13" s="47">
        <v>844</v>
      </c>
      <c r="I13" s="47">
        <v>841</v>
      </c>
      <c r="J13" s="47">
        <v>837</v>
      </c>
      <c r="K13" s="47">
        <v>833</v>
      </c>
      <c r="L13" s="47">
        <v>829</v>
      </c>
      <c r="M13" s="47">
        <v>824</v>
      </c>
      <c r="N13" s="47">
        <v>819</v>
      </c>
      <c r="O13" s="47">
        <v>814</v>
      </c>
      <c r="P13" s="47">
        <v>809</v>
      </c>
      <c r="Q13" s="47">
        <v>803</v>
      </c>
      <c r="R13" s="47">
        <v>797</v>
      </c>
      <c r="S13" s="47">
        <v>791</v>
      </c>
      <c r="T13" s="47">
        <v>785</v>
      </c>
      <c r="U13" s="47">
        <v>778</v>
      </c>
      <c r="V13" s="47">
        <v>772</v>
      </c>
      <c r="W13" s="47">
        <v>766</v>
      </c>
      <c r="X13" s="47">
        <v>760</v>
      </c>
      <c r="Y13" s="47">
        <v>754</v>
      </c>
      <c r="Z13" s="47">
        <v>749</v>
      </c>
      <c r="AA13" s="47">
        <v>743</v>
      </c>
      <c r="AB13" s="47">
        <v>738</v>
      </c>
      <c r="AC13" s="47">
        <v>734</v>
      </c>
      <c r="AD13" s="47">
        <v>729</v>
      </c>
      <c r="AE13" s="47">
        <v>725</v>
      </c>
      <c r="AF13" s="47">
        <v>722</v>
      </c>
      <c r="AG13" s="47">
        <v>719</v>
      </c>
      <c r="AH13" s="47">
        <v>716</v>
      </c>
      <c r="AI13" s="47">
        <v>714</v>
      </c>
      <c r="AJ13" s="47">
        <v>713</v>
      </c>
      <c r="AK13" s="47">
        <v>712</v>
      </c>
      <c r="AL13" s="45"/>
      <c r="AM13" s="45"/>
      <c r="AN13" s="45"/>
    </row>
    <row r="14" spans="1:42" ht="15" x14ac:dyDescent="0.2">
      <c r="A14" s="64">
        <v>11</v>
      </c>
      <c r="B14" s="47">
        <v>859</v>
      </c>
      <c r="C14" s="47">
        <v>858</v>
      </c>
      <c r="D14" s="47">
        <v>857</v>
      </c>
      <c r="E14" s="47">
        <v>856</v>
      </c>
      <c r="F14" s="47">
        <v>854</v>
      </c>
      <c r="G14" s="47">
        <v>852</v>
      </c>
      <c r="H14" s="47">
        <v>849</v>
      </c>
      <c r="I14" s="47">
        <v>845</v>
      </c>
      <c r="J14" s="47">
        <v>842</v>
      </c>
      <c r="K14" s="47">
        <v>837</v>
      </c>
      <c r="L14" s="47">
        <v>832</v>
      </c>
      <c r="M14" s="47">
        <v>827</v>
      </c>
      <c r="N14" s="47">
        <v>822</v>
      </c>
      <c r="O14" s="47">
        <v>816</v>
      </c>
      <c r="P14" s="47">
        <v>810</v>
      </c>
      <c r="Q14" s="47">
        <v>804</v>
      </c>
      <c r="R14" s="47">
        <v>797</v>
      </c>
      <c r="S14" s="47">
        <v>791</v>
      </c>
      <c r="T14" s="47">
        <v>784</v>
      </c>
      <c r="U14" s="47">
        <v>777</v>
      </c>
      <c r="V14" s="47">
        <v>770</v>
      </c>
      <c r="W14" s="47">
        <v>764</v>
      </c>
      <c r="X14" s="47">
        <v>757</v>
      </c>
      <c r="Y14" s="47">
        <v>751</v>
      </c>
      <c r="Z14" s="47">
        <v>745</v>
      </c>
      <c r="AA14" s="47">
        <v>739</v>
      </c>
      <c r="AB14" s="47">
        <v>733</v>
      </c>
      <c r="AC14" s="47">
        <v>728</v>
      </c>
      <c r="AD14" s="47">
        <v>723</v>
      </c>
      <c r="AE14" s="47">
        <v>719</v>
      </c>
      <c r="AF14" s="47">
        <v>715</v>
      </c>
      <c r="AG14" s="47">
        <v>711</v>
      </c>
      <c r="AH14" s="47">
        <v>709</v>
      </c>
      <c r="AI14" s="47">
        <v>707</v>
      </c>
      <c r="AJ14" s="47">
        <v>705</v>
      </c>
      <c r="AK14" s="47">
        <v>704</v>
      </c>
      <c r="AL14" s="45"/>
      <c r="AM14" s="45"/>
      <c r="AN14" s="45"/>
    </row>
    <row r="15" spans="1:42" ht="15" x14ac:dyDescent="0.2">
      <c r="A15" s="64">
        <v>12</v>
      </c>
      <c r="B15" s="47">
        <v>864</v>
      </c>
      <c r="C15" s="47">
        <v>864</v>
      </c>
      <c r="D15" s="47">
        <v>863</v>
      </c>
      <c r="E15" s="47">
        <v>861</v>
      </c>
      <c r="F15" s="47">
        <v>859</v>
      </c>
      <c r="G15" s="47">
        <v>857</v>
      </c>
      <c r="H15" s="47">
        <v>853</v>
      </c>
      <c r="I15" s="47">
        <v>850</v>
      </c>
      <c r="J15" s="47">
        <v>846</v>
      </c>
      <c r="K15" s="47">
        <v>841</v>
      </c>
      <c r="L15" s="47">
        <v>836</v>
      </c>
      <c r="M15" s="47">
        <v>830</v>
      </c>
      <c r="N15" s="47">
        <v>824</v>
      </c>
      <c r="O15" s="47">
        <v>818</v>
      </c>
      <c r="P15" s="47">
        <v>812</v>
      </c>
      <c r="Q15" s="47">
        <v>805</v>
      </c>
      <c r="R15" s="47">
        <v>798</v>
      </c>
      <c r="S15" s="47">
        <v>791</v>
      </c>
      <c r="T15" s="47">
        <v>783</v>
      </c>
      <c r="U15" s="47">
        <v>776</v>
      </c>
      <c r="V15" s="47">
        <v>768</v>
      </c>
      <c r="W15" s="47">
        <v>761</v>
      </c>
      <c r="X15" s="47">
        <v>754</v>
      </c>
      <c r="Y15" s="47">
        <v>747</v>
      </c>
      <c r="Z15" s="47">
        <v>740</v>
      </c>
      <c r="AA15" s="47">
        <v>734</v>
      </c>
      <c r="AB15" s="47">
        <v>728</v>
      </c>
      <c r="AC15" s="47">
        <v>722</v>
      </c>
      <c r="AD15" s="47">
        <v>717</v>
      </c>
      <c r="AE15" s="47">
        <v>712</v>
      </c>
      <c r="AF15" s="47">
        <v>708</v>
      </c>
      <c r="AG15" s="47">
        <v>704</v>
      </c>
      <c r="AH15" s="47">
        <v>701</v>
      </c>
      <c r="AI15" s="47">
        <v>699</v>
      </c>
      <c r="AJ15" s="47">
        <v>697</v>
      </c>
      <c r="AK15" s="47">
        <v>696</v>
      </c>
      <c r="AL15" s="45"/>
      <c r="AM15" s="45"/>
      <c r="AN15" s="45"/>
    </row>
    <row r="16" spans="1:42" ht="15" x14ac:dyDescent="0.2">
      <c r="A16" s="64">
        <v>13</v>
      </c>
      <c r="B16" s="47">
        <v>869</v>
      </c>
      <c r="C16" s="47">
        <v>869</v>
      </c>
      <c r="D16" s="47">
        <v>868</v>
      </c>
      <c r="E16" s="47">
        <v>866</v>
      </c>
      <c r="F16" s="47">
        <v>864</v>
      </c>
      <c r="G16" s="47">
        <v>861</v>
      </c>
      <c r="H16" s="47">
        <v>858</v>
      </c>
      <c r="I16" s="47">
        <v>854</v>
      </c>
      <c r="J16" s="47">
        <v>849</v>
      </c>
      <c r="K16" s="47">
        <v>844</v>
      </c>
      <c r="L16" s="47">
        <v>839</v>
      </c>
      <c r="M16" s="47">
        <v>833</v>
      </c>
      <c r="N16" s="47">
        <v>827</v>
      </c>
      <c r="O16" s="47">
        <v>820</v>
      </c>
      <c r="P16" s="47">
        <v>813</v>
      </c>
      <c r="Q16" s="47">
        <v>806</v>
      </c>
      <c r="R16" s="47">
        <v>798</v>
      </c>
      <c r="S16" s="47">
        <v>790</v>
      </c>
      <c r="T16" s="47">
        <v>782</v>
      </c>
      <c r="U16" s="47">
        <v>774</v>
      </c>
      <c r="V16" s="47">
        <v>767</v>
      </c>
      <c r="W16" s="47">
        <v>759</v>
      </c>
      <c r="X16" s="47">
        <v>751</v>
      </c>
      <c r="Y16" s="47">
        <v>743</v>
      </c>
      <c r="Z16" s="47">
        <v>736</v>
      </c>
      <c r="AA16" s="47">
        <v>729</v>
      </c>
      <c r="AB16" s="47">
        <v>722</v>
      </c>
      <c r="AC16" s="47">
        <v>716</v>
      </c>
      <c r="AD16" s="47">
        <v>710</v>
      </c>
      <c r="AE16" s="47">
        <v>705</v>
      </c>
      <c r="AF16" s="47">
        <v>701</v>
      </c>
      <c r="AG16" s="47">
        <v>697</v>
      </c>
      <c r="AH16" s="47">
        <v>694</v>
      </c>
      <c r="AI16" s="47">
        <v>691</v>
      </c>
      <c r="AJ16" s="47">
        <v>690</v>
      </c>
      <c r="AK16" s="47">
        <v>688</v>
      </c>
      <c r="AL16" s="45"/>
      <c r="AM16" s="45"/>
      <c r="AN16" s="45"/>
    </row>
    <row r="17" spans="1:40" ht="15" x14ac:dyDescent="0.2">
      <c r="A17" s="64">
        <v>14</v>
      </c>
      <c r="B17" s="47">
        <v>874</v>
      </c>
      <c r="C17" s="47">
        <v>874</v>
      </c>
      <c r="D17" s="47">
        <v>873</v>
      </c>
      <c r="E17" s="47">
        <v>871</v>
      </c>
      <c r="F17" s="47">
        <v>869</v>
      </c>
      <c r="G17" s="47">
        <v>866</v>
      </c>
      <c r="H17" s="47">
        <v>862</v>
      </c>
      <c r="I17" s="47">
        <v>858</v>
      </c>
      <c r="J17" s="47">
        <v>853</v>
      </c>
      <c r="K17" s="47">
        <v>848</v>
      </c>
      <c r="L17" s="47">
        <v>842</v>
      </c>
      <c r="M17" s="47">
        <v>836</v>
      </c>
      <c r="N17" s="47">
        <v>829</v>
      </c>
      <c r="O17" s="47">
        <v>822</v>
      </c>
      <c r="P17" s="47">
        <v>814</v>
      </c>
      <c r="Q17" s="47">
        <v>806</v>
      </c>
      <c r="R17" s="47">
        <v>798</v>
      </c>
      <c r="S17" s="47">
        <v>790</v>
      </c>
      <c r="T17" s="47">
        <v>782</v>
      </c>
      <c r="U17" s="47">
        <v>773</v>
      </c>
      <c r="V17" s="47">
        <v>764</v>
      </c>
      <c r="W17" s="47">
        <v>756</v>
      </c>
      <c r="X17" s="47">
        <v>748</v>
      </c>
      <c r="Y17" s="47">
        <v>740</v>
      </c>
      <c r="Z17" s="47">
        <v>732</v>
      </c>
      <c r="AA17" s="47">
        <v>724</v>
      </c>
      <c r="AB17" s="47">
        <v>717</v>
      </c>
      <c r="AC17" s="47">
        <v>710</v>
      </c>
      <c r="AD17" s="47">
        <v>704</v>
      </c>
      <c r="AE17" s="47">
        <v>699</v>
      </c>
      <c r="AF17" s="47">
        <v>694</v>
      </c>
      <c r="AG17" s="47">
        <v>690</v>
      </c>
      <c r="AH17" s="47">
        <v>686</v>
      </c>
      <c r="AI17" s="47">
        <v>684</v>
      </c>
      <c r="AJ17" s="47">
        <v>682</v>
      </c>
      <c r="AK17" s="47">
        <v>681</v>
      </c>
      <c r="AL17" s="45"/>
      <c r="AM17" s="45"/>
      <c r="AN17" s="45"/>
    </row>
    <row r="18" spans="1:40" ht="15" x14ac:dyDescent="0.2">
      <c r="A18" s="64">
        <v>15</v>
      </c>
      <c r="B18" s="47">
        <v>879</v>
      </c>
      <c r="C18" s="47">
        <v>879</v>
      </c>
      <c r="D18" s="47">
        <v>878</v>
      </c>
      <c r="E18" s="47">
        <v>876</v>
      </c>
      <c r="F18" s="47">
        <v>873</v>
      </c>
      <c r="G18" s="47">
        <v>870</v>
      </c>
      <c r="H18" s="47">
        <v>866</v>
      </c>
      <c r="I18" s="47">
        <v>862</v>
      </c>
      <c r="J18" s="47">
        <v>857</v>
      </c>
      <c r="K18" s="47">
        <v>851</v>
      </c>
      <c r="L18" s="47">
        <v>845</v>
      </c>
      <c r="M18" s="47">
        <v>838</v>
      </c>
      <c r="N18" s="47">
        <v>831</v>
      </c>
      <c r="O18" s="47">
        <v>823</v>
      </c>
      <c r="P18" s="47">
        <v>815</v>
      </c>
      <c r="Q18" s="47">
        <v>807</v>
      </c>
      <c r="R18" s="47">
        <v>798</v>
      </c>
      <c r="S18" s="47">
        <v>789</v>
      </c>
      <c r="T18" s="47">
        <v>781</v>
      </c>
      <c r="U18" s="47">
        <v>772</v>
      </c>
      <c r="V18" s="47">
        <v>763</v>
      </c>
      <c r="W18" s="47">
        <v>753</v>
      </c>
      <c r="X18" s="47">
        <v>745</v>
      </c>
      <c r="Y18" s="47">
        <v>736</v>
      </c>
      <c r="Z18" s="47">
        <v>727</v>
      </c>
      <c r="AA18" s="47">
        <v>719</v>
      </c>
      <c r="AB18" s="47">
        <v>712</v>
      </c>
      <c r="AC18" s="47">
        <v>705</v>
      </c>
      <c r="AD18" s="47">
        <v>698</v>
      </c>
      <c r="AE18" s="47">
        <v>692</v>
      </c>
      <c r="AF18" s="47">
        <v>687</v>
      </c>
      <c r="AG18" s="47">
        <v>683</v>
      </c>
      <c r="AH18" s="47">
        <v>679</v>
      </c>
      <c r="AI18" s="47">
        <v>676</v>
      </c>
      <c r="AJ18" s="47">
        <v>675</v>
      </c>
      <c r="AK18" s="47">
        <v>673</v>
      </c>
      <c r="AL18" s="45"/>
      <c r="AM18" s="45"/>
      <c r="AN18" s="45"/>
    </row>
    <row r="19" spans="1:40" ht="15" x14ac:dyDescent="0.2">
      <c r="A19" s="64">
        <v>16</v>
      </c>
      <c r="B19" s="47">
        <v>884</v>
      </c>
      <c r="C19" s="47">
        <v>883</v>
      </c>
      <c r="D19" s="47">
        <v>882</v>
      </c>
      <c r="E19" s="47">
        <v>880</v>
      </c>
      <c r="F19" s="47">
        <v>878</v>
      </c>
      <c r="G19" s="47">
        <v>874</v>
      </c>
      <c r="H19" s="47">
        <v>870</v>
      </c>
      <c r="I19" s="47">
        <v>866</v>
      </c>
      <c r="J19" s="47">
        <v>860</v>
      </c>
      <c r="K19" s="47">
        <v>854</v>
      </c>
      <c r="L19" s="47">
        <v>848</v>
      </c>
      <c r="M19" s="47">
        <v>840</v>
      </c>
      <c r="N19" s="47">
        <v>833</v>
      </c>
      <c r="O19" s="47">
        <v>825</v>
      </c>
      <c r="P19" s="47">
        <v>816</v>
      </c>
      <c r="Q19" s="47">
        <v>807</v>
      </c>
      <c r="R19" s="47">
        <v>798</v>
      </c>
      <c r="S19" s="47">
        <v>789</v>
      </c>
      <c r="T19" s="47">
        <v>780</v>
      </c>
      <c r="U19" s="47">
        <v>770</v>
      </c>
      <c r="V19" s="47">
        <v>760</v>
      </c>
      <c r="W19" s="47">
        <v>751</v>
      </c>
      <c r="X19" s="47">
        <v>741</v>
      </c>
      <c r="Y19" s="47">
        <v>732</v>
      </c>
      <c r="Z19" s="47">
        <v>723</v>
      </c>
      <c r="AA19" s="47">
        <v>715</v>
      </c>
      <c r="AB19" s="47">
        <v>706</v>
      </c>
      <c r="AC19" s="47">
        <v>699</v>
      </c>
      <c r="AD19" s="47">
        <v>692</v>
      </c>
      <c r="AE19" s="47">
        <v>686</v>
      </c>
      <c r="AF19" s="47">
        <v>680</v>
      </c>
      <c r="AG19" s="47">
        <v>676</v>
      </c>
      <c r="AH19" s="47">
        <v>672</v>
      </c>
      <c r="AI19" s="47">
        <v>669</v>
      </c>
      <c r="AJ19" s="47">
        <v>667</v>
      </c>
      <c r="AK19" s="47">
        <v>666</v>
      </c>
      <c r="AL19" s="45"/>
      <c r="AM19" s="45"/>
      <c r="AN19" s="45"/>
    </row>
    <row r="20" spans="1:40" ht="15" x14ac:dyDescent="0.2">
      <c r="A20" s="64">
        <v>17</v>
      </c>
      <c r="B20" s="47">
        <v>888</v>
      </c>
      <c r="C20" s="47">
        <v>888</v>
      </c>
      <c r="D20" s="47">
        <v>887</v>
      </c>
      <c r="E20" s="47">
        <v>885</v>
      </c>
      <c r="F20" s="47">
        <v>882</v>
      </c>
      <c r="G20" s="47">
        <v>878</v>
      </c>
      <c r="H20" s="47">
        <v>874</v>
      </c>
      <c r="I20" s="47">
        <v>869</v>
      </c>
      <c r="J20" s="47">
        <v>863</v>
      </c>
      <c r="K20" s="47">
        <v>857</v>
      </c>
      <c r="L20" s="47">
        <v>850</v>
      </c>
      <c r="M20" s="47">
        <v>843</v>
      </c>
      <c r="N20" s="47">
        <v>835</v>
      </c>
      <c r="O20" s="47">
        <v>826</v>
      </c>
      <c r="P20" s="47">
        <v>817</v>
      </c>
      <c r="Q20" s="47">
        <v>808</v>
      </c>
      <c r="R20" s="47">
        <v>798</v>
      </c>
      <c r="S20" s="47">
        <v>788</v>
      </c>
      <c r="T20" s="47">
        <v>779</v>
      </c>
      <c r="U20" s="47">
        <v>768</v>
      </c>
      <c r="V20" s="47">
        <v>758</v>
      </c>
      <c r="W20" s="47">
        <v>748</v>
      </c>
      <c r="X20" s="47">
        <v>738</v>
      </c>
      <c r="Y20" s="47">
        <v>728</v>
      </c>
      <c r="Z20" s="47">
        <v>719</v>
      </c>
      <c r="AA20" s="47">
        <v>710</v>
      </c>
      <c r="AB20" s="47">
        <v>701</v>
      </c>
      <c r="AC20" s="47">
        <v>693</v>
      </c>
      <c r="AD20" s="47">
        <v>686</v>
      </c>
      <c r="AE20" s="47">
        <v>679</v>
      </c>
      <c r="AF20" s="47">
        <v>673</v>
      </c>
      <c r="AG20" s="47">
        <v>669</v>
      </c>
      <c r="AH20" s="47">
        <v>665</v>
      </c>
      <c r="AI20" s="47">
        <v>662</v>
      </c>
      <c r="AJ20" s="47">
        <v>660</v>
      </c>
      <c r="AK20" s="47">
        <v>659</v>
      </c>
      <c r="AL20" s="45"/>
      <c r="AM20" s="45"/>
      <c r="AN20" s="45"/>
    </row>
    <row r="21" spans="1:40" ht="15" x14ac:dyDescent="0.2">
      <c r="A21" s="64">
        <v>18</v>
      </c>
      <c r="B21" s="47">
        <v>892</v>
      </c>
      <c r="C21" s="47">
        <v>892</v>
      </c>
      <c r="D21" s="47">
        <v>891</v>
      </c>
      <c r="E21" s="47">
        <v>889</v>
      </c>
      <c r="F21" s="47">
        <v>886</v>
      </c>
      <c r="G21" s="47">
        <v>882</v>
      </c>
      <c r="H21" s="47">
        <v>878</v>
      </c>
      <c r="I21" s="47">
        <v>872</v>
      </c>
      <c r="J21" s="47">
        <v>866</v>
      </c>
      <c r="K21" s="47">
        <v>860</v>
      </c>
      <c r="L21" s="47">
        <v>853</v>
      </c>
      <c r="M21" s="47">
        <v>845</v>
      </c>
      <c r="N21" s="47">
        <v>836</v>
      </c>
      <c r="O21" s="47">
        <v>827</v>
      </c>
      <c r="P21" s="47">
        <v>818</v>
      </c>
      <c r="Q21" s="47">
        <v>808</v>
      </c>
      <c r="R21" s="47">
        <v>798</v>
      </c>
      <c r="S21" s="47">
        <v>788</v>
      </c>
      <c r="T21" s="47">
        <v>777</v>
      </c>
      <c r="U21" s="47">
        <v>767</v>
      </c>
      <c r="V21" s="47">
        <v>756</v>
      </c>
      <c r="W21" s="47">
        <v>746</v>
      </c>
      <c r="X21" s="47">
        <v>735</v>
      </c>
      <c r="Y21" s="47">
        <v>725</v>
      </c>
      <c r="Z21" s="47">
        <v>715</v>
      </c>
      <c r="AA21" s="47">
        <v>705</v>
      </c>
      <c r="AB21" s="47">
        <v>696</v>
      </c>
      <c r="AC21" s="47">
        <v>687</v>
      </c>
      <c r="AD21" s="47">
        <v>680</v>
      </c>
      <c r="AE21" s="47">
        <v>673</v>
      </c>
      <c r="AF21" s="47">
        <v>667</v>
      </c>
      <c r="AG21" s="47">
        <v>662</v>
      </c>
      <c r="AH21" s="47">
        <v>658</v>
      </c>
      <c r="AI21" s="47">
        <v>655</v>
      </c>
      <c r="AJ21" s="47">
        <v>652</v>
      </c>
      <c r="AK21" s="47">
        <v>651</v>
      </c>
      <c r="AL21" s="45"/>
      <c r="AM21" s="45"/>
      <c r="AN21" s="45"/>
    </row>
    <row r="22" spans="1:40" ht="15" x14ac:dyDescent="0.2">
      <c r="A22" s="64">
        <v>19</v>
      </c>
      <c r="B22" s="47">
        <v>897</v>
      </c>
      <c r="C22" s="47">
        <v>896</v>
      </c>
      <c r="D22" s="47">
        <v>895</v>
      </c>
      <c r="E22" s="47">
        <v>893</v>
      </c>
      <c r="F22" s="47">
        <v>890</v>
      </c>
      <c r="G22" s="47">
        <v>886</v>
      </c>
      <c r="H22" s="47">
        <v>881</v>
      </c>
      <c r="I22" s="47">
        <v>876</v>
      </c>
      <c r="J22" s="47">
        <v>869</v>
      </c>
      <c r="K22" s="47">
        <v>862</v>
      </c>
      <c r="L22" s="47">
        <v>855</v>
      </c>
      <c r="M22" s="47">
        <v>847</v>
      </c>
      <c r="N22" s="47">
        <v>838</v>
      </c>
      <c r="O22" s="47">
        <v>829</v>
      </c>
      <c r="P22" s="47">
        <v>819</v>
      </c>
      <c r="Q22" s="47">
        <v>809</v>
      </c>
      <c r="R22" s="47">
        <v>798</v>
      </c>
      <c r="S22" s="47">
        <v>787</v>
      </c>
      <c r="T22" s="47">
        <v>776</v>
      </c>
      <c r="U22" s="47">
        <v>765</v>
      </c>
      <c r="V22" s="47">
        <v>754</v>
      </c>
      <c r="W22" s="47">
        <v>743</v>
      </c>
      <c r="X22" s="47">
        <v>732</v>
      </c>
      <c r="Y22" s="47">
        <v>721</v>
      </c>
      <c r="Z22" s="47">
        <v>710</v>
      </c>
      <c r="AA22" s="47">
        <v>700</v>
      </c>
      <c r="AB22" s="47">
        <v>690</v>
      </c>
      <c r="AC22" s="47">
        <v>682</v>
      </c>
      <c r="AD22" s="47">
        <v>673</v>
      </c>
      <c r="AE22" s="47">
        <v>666</v>
      </c>
      <c r="AF22" s="47">
        <v>660</v>
      </c>
      <c r="AG22" s="47">
        <v>655</v>
      </c>
      <c r="AH22" s="47">
        <v>651</v>
      </c>
      <c r="AI22" s="47">
        <v>647</v>
      </c>
      <c r="AJ22" s="47">
        <v>645</v>
      </c>
      <c r="AK22" s="47">
        <v>644</v>
      </c>
      <c r="AL22" s="45"/>
      <c r="AM22" s="45"/>
      <c r="AN22" s="45"/>
    </row>
    <row r="23" spans="1:40" ht="15" x14ac:dyDescent="0.2">
      <c r="A23" s="64">
        <v>20</v>
      </c>
      <c r="B23" s="47">
        <v>901</v>
      </c>
      <c r="C23" s="47">
        <v>900</v>
      </c>
      <c r="D23" s="47">
        <v>899</v>
      </c>
      <c r="E23" s="47">
        <v>896</v>
      </c>
      <c r="F23" s="47">
        <v>893</v>
      </c>
      <c r="G23" s="47">
        <v>889</v>
      </c>
      <c r="H23" s="47">
        <v>884</v>
      </c>
      <c r="I23" s="47">
        <v>879</v>
      </c>
      <c r="J23" s="47">
        <v>872</v>
      </c>
      <c r="K23" s="47">
        <v>865</v>
      </c>
      <c r="L23" s="47">
        <v>857</v>
      </c>
      <c r="M23" s="47">
        <v>848</v>
      </c>
      <c r="N23" s="47">
        <v>839</v>
      </c>
      <c r="O23" s="47">
        <v>830</v>
      </c>
      <c r="P23" s="47">
        <v>819</v>
      </c>
      <c r="Q23" s="47">
        <v>809</v>
      </c>
      <c r="R23" s="47">
        <v>798</v>
      </c>
      <c r="S23" s="47">
        <v>787</v>
      </c>
      <c r="T23" s="47">
        <v>775</v>
      </c>
      <c r="U23" s="47">
        <v>763</v>
      </c>
      <c r="V23" s="47">
        <v>752</v>
      </c>
      <c r="W23" s="47">
        <v>740</v>
      </c>
      <c r="X23" s="47">
        <v>728</v>
      </c>
      <c r="Y23" s="47">
        <v>717</v>
      </c>
      <c r="Z23" s="47">
        <v>706</v>
      </c>
      <c r="AA23" s="47">
        <v>695</v>
      </c>
      <c r="AB23" s="47">
        <v>685</v>
      </c>
      <c r="AC23" s="47">
        <v>676</v>
      </c>
      <c r="AD23" s="47">
        <v>667</v>
      </c>
      <c r="AE23" s="47">
        <v>660</v>
      </c>
      <c r="AF23" s="47">
        <v>653</v>
      </c>
      <c r="AG23" s="47">
        <v>648</v>
      </c>
      <c r="AH23" s="47">
        <v>644</v>
      </c>
      <c r="AI23" s="47">
        <v>640</v>
      </c>
      <c r="AJ23" s="47">
        <v>638</v>
      </c>
      <c r="AK23" s="47">
        <v>636</v>
      </c>
      <c r="AL23" s="45"/>
      <c r="AM23" s="45"/>
      <c r="AN23" s="45"/>
    </row>
    <row r="24" spans="1:40" ht="15" x14ac:dyDescent="0.2">
      <c r="A24" s="64">
        <v>21</v>
      </c>
      <c r="B24" s="47">
        <v>904</v>
      </c>
      <c r="C24" s="47">
        <v>904</v>
      </c>
      <c r="D24" s="47">
        <v>902</v>
      </c>
      <c r="E24" s="47">
        <v>900</v>
      </c>
      <c r="F24" s="47">
        <v>897</v>
      </c>
      <c r="G24" s="47">
        <v>893</v>
      </c>
      <c r="H24" s="47">
        <v>887</v>
      </c>
      <c r="I24" s="47">
        <v>881</v>
      </c>
      <c r="J24" s="47">
        <v>875</v>
      </c>
      <c r="K24" s="47">
        <v>867</v>
      </c>
      <c r="L24" s="47">
        <v>859</v>
      </c>
      <c r="M24" s="47">
        <v>850</v>
      </c>
      <c r="N24" s="47">
        <v>841</v>
      </c>
      <c r="O24" s="47">
        <v>831</v>
      </c>
      <c r="P24" s="47">
        <v>820</v>
      </c>
      <c r="Q24" s="47">
        <v>809</v>
      </c>
      <c r="R24" s="47">
        <v>797</v>
      </c>
      <c r="S24" s="47">
        <v>786</v>
      </c>
      <c r="T24" s="47">
        <v>774</v>
      </c>
      <c r="U24" s="47">
        <v>762</v>
      </c>
      <c r="V24" s="47">
        <v>750</v>
      </c>
      <c r="W24" s="47">
        <v>737</v>
      </c>
      <c r="X24" s="47">
        <v>725</v>
      </c>
      <c r="Y24" s="47">
        <v>713</v>
      </c>
      <c r="Z24" s="47">
        <v>702</v>
      </c>
      <c r="AA24" s="47">
        <v>691</v>
      </c>
      <c r="AB24" s="47">
        <v>680</v>
      </c>
      <c r="AC24" s="47">
        <v>670</v>
      </c>
      <c r="AD24" s="47">
        <v>661</v>
      </c>
      <c r="AE24" s="47">
        <v>654</v>
      </c>
      <c r="AF24" s="47">
        <v>647</v>
      </c>
      <c r="AG24" s="47">
        <v>641</v>
      </c>
      <c r="AH24" s="47">
        <v>636</v>
      </c>
      <c r="AI24" s="47">
        <v>633</v>
      </c>
      <c r="AJ24" s="47">
        <v>630</v>
      </c>
      <c r="AK24" s="47">
        <v>628</v>
      </c>
      <c r="AL24" s="45"/>
      <c r="AM24" s="45"/>
      <c r="AN24" s="45"/>
    </row>
    <row r="25" spans="1:40" ht="15" x14ac:dyDescent="0.2">
      <c r="A25" s="64">
        <v>22</v>
      </c>
      <c r="B25" s="47">
        <v>908</v>
      </c>
      <c r="C25" s="47">
        <v>907</v>
      </c>
      <c r="D25" s="47">
        <v>906</v>
      </c>
      <c r="E25" s="47">
        <v>903</v>
      </c>
      <c r="F25" s="47">
        <v>900</v>
      </c>
      <c r="G25" s="47">
        <v>896</v>
      </c>
      <c r="H25" s="47">
        <v>890</v>
      </c>
      <c r="I25" s="47">
        <v>884</v>
      </c>
      <c r="J25" s="47">
        <v>877</v>
      </c>
      <c r="K25" s="47">
        <v>869</v>
      </c>
      <c r="L25" s="47">
        <v>861</v>
      </c>
      <c r="M25" s="47">
        <v>852</v>
      </c>
      <c r="N25" s="47">
        <v>842</v>
      </c>
      <c r="O25" s="47">
        <v>831</v>
      </c>
      <c r="P25" s="47">
        <v>820</v>
      </c>
      <c r="Q25" s="47">
        <v>809</v>
      </c>
      <c r="R25" s="47">
        <v>797</v>
      </c>
      <c r="S25" s="47">
        <v>785</v>
      </c>
      <c r="T25" s="47">
        <v>773</v>
      </c>
      <c r="U25" s="47">
        <v>760</v>
      </c>
      <c r="V25" s="47">
        <v>747</v>
      </c>
      <c r="W25" s="47">
        <v>735</v>
      </c>
      <c r="X25" s="47">
        <v>722</v>
      </c>
      <c r="Y25" s="47">
        <v>710</v>
      </c>
      <c r="Z25" s="47">
        <v>698</v>
      </c>
      <c r="AA25" s="47">
        <v>686</v>
      </c>
      <c r="AB25" s="47">
        <v>675</v>
      </c>
      <c r="AC25" s="47">
        <v>665</v>
      </c>
      <c r="AD25" s="47">
        <v>655</v>
      </c>
      <c r="AE25" s="47">
        <v>647</v>
      </c>
      <c r="AF25" s="47">
        <v>640</v>
      </c>
      <c r="AG25" s="47">
        <v>634</v>
      </c>
      <c r="AH25" s="47">
        <v>629</v>
      </c>
      <c r="AI25" s="47">
        <v>625</v>
      </c>
      <c r="AJ25" s="47">
        <v>622</v>
      </c>
      <c r="AK25" s="47">
        <v>621</v>
      </c>
      <c r="AL25" s="45"/>
      <c r="AM25" s="45"/>
      <c r="AN25" s="45"/>
    </row>
    <row r="26" spans="1:40" ht="15" x14ac:dyDescent="0.2">
      <c r="A26" s="64">
        <v>23</v>
      </c>
      <c r="B26" s="47">
        <v>911</v>
      </c>
      <c r="C26" s="47">
        <v>911</v>
      </c>
      <c r="D26" s="47">
        <v>909</v>
      </c>
      <c r="E26" s="47">
        <v>907</v>
      </c>
      <c r="F26" s="47">
        <v>903</v>
      </c>
      <c r="G26" s="47">
        <v>899</v>
      </c>
      <c r="H26" s="47">
        <v>893</v>
      </c>
      <c r="I26" s="47">
        <v>887</v>
      </c>
      <c r="J26" s="47">
        <v>880</v>
      </c>
      <c r="K26" s="47">
        <v>872</v>
      </c>
      <c r="L26" s="47">
        <v>863</v>
      </c>
      <c r="M26" s="47">
        <v>853</v>
      </c>
      <c r="N26" s="47">
        <v>843</v>
      </c>
      <c r="O26" s="47">
        <v>832</v>
      </c>
      <c r="P26" s="47">
        <v>821</v>
      </c>
      <c r="Q26" s="47">
        <v>809</v>
      </c>
      <c r="R26" s="47">
        <v>797</v>
      </c>
      <c r="S26" s="47">
        <v>784</v>
      </c>
      <c r="T26" s="47">
        <v>771</v>
      </c>
      <c r="U26" s="47">
        <v>758</v>
      </c>
      <c r="V26" s="47">
        <v>745</v>
      </c>
      <c r="W26" s="47">
        <v>732</v>
      </c>
      <c r="X26" s="47">
        <v>719</v>
      </c>
      <c r="Y26" s="47">
        <v>706</v>
      </c>
      <c r="Z26" s="47">
        <v>693</v>
      </c>
      <c r="AA26" s="47">
        <v>681</v>
      </c>
      <c r="AB26" s="47">
        <v>670</v>
      </c>
      <c r="AC26" s="47">
        <v>659</v>
      </c>
      <c r="AD26" s="47">
        <v>649</v>
      </c>
      <c r="AE26" s="47">
        <v>641</v>
      </c>
      <c r="AF26" s="47">
        <v>634</v>
      </c>
      <c r="AG26" s="47">
        <v>627</v>
      </c>
      <c r="AH26" s="47">
        <v>622</v>
      </c>
      <c r="AI26" s="47">
        <v>618</v>
      </c>
      <c r="AJ26" s="47">
        <v>615</v>
      </c>
      <c r="AK26" s="47">
        <v>613</v>
      </c>
      <c r="AL26" s="45"/>
      <c r="AM26" s="45"/>
      <c r="AN26" s="45"/>
    </row>
    <row r="27" spans="1:40" ht="15" x14ac:dyDescent="0.2">
      <c r="A27" s="64">
        <v>24</v>
      </c>
      <c r="B27" s="47">
        <v>914</v>
      </c>
      <c r="C27" s="47">
        <v>914</v>
      </c>
      <c r="D27" s="47">
        <v>912</v>
      </c>
      <c r="E27" s="47">
        <v>910</v>
      </c>
      <c r="F27" s="47">
        <v>906</v>
      </c>
      <c r="G27" s="47">
        <v>901</v>
      </c>
      <c r="H27" s="47">
        <v>896</v>
      </c>
      <c r="I27" s="47">
        <v>889</v>
      </c>
      <c r="J27" s="47">
        <v>882</v>
      </c>
      <c r="K27" s="47">
        <v>873</v>
      </c>
      <c r="L27" s="47">
        <v>864</v>
      </c>
      <c r="M27" s="47">
        <v>855</v>
      </c>
      <c r="N27" s="47">
        <v>844</v>
      </c>
      <c r="O27" s="47">
        <v>833</v>
      </c>
      <c r="P27" s="47">
        <v>821</v>
      </c>
      <c r="Q27" s="47">
        <v>809</v>
      </c>
      <c r="R27" s="47">
        <v>796</v>
      </c>
      <c r="S27" s="47">
        <v>783</v>
      </c>
      <c r="T27" s="47">
        <v>770</v>
      </c>
      <c r="U27" s="47">
        <v>756</v>
      </c>
      <c r="V27" s="47">
        <v>743</v>
      </c>
      <c r="W27" s="47">
        <v>729</v>
      </c>
      <c r="X27" s="47">
        <v>715</v>
      </c>
      <c r="Y27" s="47">
        <v>702</v>
      </c>
      <c r="Z27" s="47">
        <v>689</v>
      </c>
      <c r="AA27" s="47">
        <v>676</v>
      </c>
      <c r="AB27" s="47">
        <v>665</v>
      </c>
      <c r="AC27" s="47">
        <v>653</v>
      </c>
      <c r="AD27" s="47">
        <v>643</v>
      </c>
      <c r="AE27" s="47">
        <v>634</v>
      </c>
      <c r="AF27" s="47">
        <v>627</v>
      </c>
      <c r="AG27" s="47">
        <v>620</v>
      </c>
      <c r="AH27" s="47">
        <v>615</v>
      </c>
      <c r="AI27" s="47">
        <v>610</v>
      </c>
      <c r="AJ27" s="47">
        <v>607</v>
      </c>
      <c r="AK27" s="47">
        <v>605</v>
      </c>
      <c r="AL27" s="45"/>
      <c r="AM27" s="45"/>
      <c r="AN27" s="45"/>
    </row>
    <row r="28" spans="1:40" ht="15" x14ac:dyDescent="0.2">
      <c r="A28" s="64">
        <v>25</v>
      </c>
      <c r="B28" s="47">
        <v>917</v>
      </c>
      <c r="C28" s="47">
        <v>917</v>
      </c>
      <c r="D28" s="47">
        <v>915</v>
      </c>
      <c r="E28" s="47">
        <v>912</v>
      </c>
      <c r="F28" s="47">
        <v>909</v>
      </c>
      <c r="G28" s="47">
        <v>904</v>
      </c>
      <c r="H28" s="47">
        <v>898</v>
      </c>
      <c r="I28" s="47">
        <v>891</v>
      </c>
      <c r="J28" s="47">
        <v>884</v>
      </c>
      <c r="K28" s="47">
        <v>875</v>
      </c>
      <c r="L28" s="47">
        <v>866</v>
      </c>
      <c r="M28" s="47">
        <v>855</v>
      </c>
      <c r="N28" s="47">
        <v>845</v>
      </c>
      <c r="O28" s="47">
        <v>833</v>
      </c>
      <c r="P28" s="47">
        <v>821</v>
      </c>
      <c r="Q28" s="47">
        <v>808</v>
      </c>
      <c r="R28" s="47">
        <v>795</v>
      </c>
      <c r="S28" s="47">
        <v>782</v>
      </c>
      <c r="T28" s="47">
        <v>768</v>
      </c>
      <c r="U28" s="47">
        <v>754</v>
      </c>
      <c r="V28" s="47">
        <v>740</v>
      </c>
      <c r="W28" s="47">
        <v>726</v>
      </c>
      <c r="X28" s="47">
        <v>712</v>
      </c>
      <c r="Y28" s="47">
        <v>698</v>
      </c>
      <c r="Z28" s="47">
        <v>685</v>
      </c>
      <c r="AA28" s="47">
        <v>672</v>
      </c>
      <c r="AB28" s="47">
        <v>659</v>
      </c>
      <c r="AC28" s="47">
        <v>648</v>
      </c>
      <c r="AD28" s="47">
        <v>637</v>
      </c>
      <c r="AE28" s="47">
        <v>628</v>
      </c>
      <c r="AF28" s="47">
        <v>620</v>
      </c>
      <c r="AG28" s="47">
        <v>613</v>
      </c>
      <c r="AH28" s="47">
        <v>608</v>
      </c>
      <c r="AI28" s="47">
        <v>603</v>
      </c>
      <c r="AJ28" s="47">
        <v>600</v>
      </c>
      <c r="AK28" s="47">
        <v>598</v>
      </c>
      <c r="AL28" s="45"/>
      <c r="AM28" s="45"/>
      <c r="AN28" s="45"/>
    </row>
    <row r="29" spans="1:40" ht="15" x14ac:dyDescent="0.2">
      <c r="A29" s="64">
        <v>26</v>
      </c>
      <c r="B29" s="47">
        <v>920</v>
      </c>
      <c r="C29" s="47">
        <v>919</v>
      </c>
      <c r="D29" s="47">
        <v>918</v>
      </c>
      <c r="E29" s="47">
        <v>915</v>
      </c>
      <c r="F29" s="47">
        <v>911</v>
      </c>
      <c r="G29" s="47">
        <v>906</v>
      </c>
      <c r="H29" s="47">
        <v>900</v>
      </c>
      <c r="I29" s="47">
        <v>893</v>
      </c>
      <c r="J29" s="47">
        <v>885</v>
      </c>
      <c r="K29" s="47">
        <v>877</v>
      </c>
      <c r="L29" s="47">
        <v>867</v>
      </c>
      <c r="M29" s="47">
        <v>856</v>
      </c>
      <c r="N29" s="47">
        <v>845</v>
      </c>
      <c r="O29" s="47">
        <v>833</v>
      </c>
      <c r="P29" s="47">
        <v>821</v>
      </c>
      <c r="Q29" s="47">
        <v>808</v>
      </c>
      <c r="R29" s="47">
        <v>795</v>
      </c>
      <c r="S29" s="47">
        <v>781</v>
      </c>
      <c r="T29" s="47">
        <v>767</v>
      </c>
      <c r="U29" s="47">
        <v>752</v>
      </c>
      <c r="V29" s="47">
        <v>738</v>
      </c>
      <c r="W29" s="47">
        <v>723</v>
      </c>
      <c r="X29" s="47">
        <v>709</v>
      </c>
      <c r="Y29" s="47">
        <v>695</v>
      </c>
      <c r="Z29" s="47">
        <v>681</v>
      </c>
      <c r="AA29" s="47">
        <v>667</v>
      </c>
      <c r="AB29" s="47">
        <v>654</v>
      </c>
      <c r="AC29" s="47">
        <v>642</v>
      </c>
      <c r="AD29" s="47">
        <v>631</v>
      </c>
      <c r="AE29" s="47">
        <v>622</v>
      </c>
      <c r="AF29" s="47">
        <v>613</v>
      </c>
      <c r="AG29" s="47">
        <v>606</v>
      </c>
      <c r="AH29" s="47">
        <v>600</v>
      </c>
      <c r="AI29" s="47">
        <v>596</v>
      </c>
      <c r="AJ29" s="47">
        <v>593</v>
      </c>
      <c r="AK29" s="47">
        <v>591</v>
      </c>
      <c r="AL29" s="45"/>
      <c r="AM29" s="45"/>
      <c r="AN29" s="45"/>
    </row>
    <row r="30" spans="1:40" ht="15" x14ac:dyDescent="0.2">
      <c r="A30" s="64">
        <v>27</v>
      </c>
      <c r="B30" s="47">
        <v>922</v>
      </c>
      <c r="C30" s="47">
        <v>922</v>
      </c>
      <c r="D30" s="47">
        <v>920</v>
      </c>
      <c r="E30" s="47">
        <v>917</v>
      </c>
      <c r="F30" s="47">
        <v>913</v>
      </c>
      <c r="G30" s="47">
        <v>908</v>
      </c>
      <c r="H30" s="47">
        <v>902</v>
      </c>
      <c r="I30" s="47">
        <v>895</v>
      </c>
      <c r="J30" s="47">
        <v>887</v>
      </c>
      <c r="K30" s="47">
        <v>878</v>
      </c>
      <c r="L30" s="47">
        <v>868</v>
      </c>
      <c r="M30" s="47">
        <v>857</v>
      </c>
      <c r="N30" s="47">
        <v>846</v>
      </c>
      <c r="O30" s="47">
        <v>834</v>
      </c>
      <c r="P30" s="47">
        <v>821</v>
      </c>
      <c r="Q30" s="47">
        <v>808</v>
      </c>
      <c r="R30" s="47">
        <v>794</v>
      </c>
      <c r="S30" s="47">
        <v>780</v>
      </c>
      <c r="T30" s="47">
        <v>765</v>
      </c>
      <c r="U30" s="47">
        <v>750</v>
      </c>
      <c r="V30" s="47">
        <v>735</v>
      </c>
      <c r="W30" s="47">
        <v>720</v>
      </c>
      <c r="X30" s="47">
        <v>706</v>
      </c>
      <c r="Y30" s="47">
        <v>691</v>
      </c>
      <c r="Z30" s="47">
        <v>676</v>
      </c>
      <c r="AA30" s="47">
        <v>663</v>
      </c>
      <c r="AB30" s="47">
        <v>649</v>
      </c>
      <c r="AC30" s="47">
        <v>637</v>
      </c>
      <c r="AD30" s="47">
        <v>625</v>
      </c>
      <c r="AE30" s="47">
        <v>616</v>
      </c>
      <c r="AF30" s="47">
        <v>607</v>
      </c>
      <c r="AG30" s="47">
        <v>600</v>
      </c>
      <c r="AH30" s="47">
        <v>593</v>
      </c>
      <c r="AI30" s="47">
        <v>588</v>
      </c>
      <c r="AJ30" s="47">
        <v>585</v>
      </c>
      <c r="AK30" s="47">
        <v>583</v>
      </c>
      <c r="AL30" s="45"/>
      <c r="AM30" s="45"/>
      <c r="AN30" s="45"/>
    </row>
    <row r="31" spans="1:40" ht="15" x14ac:dyDescent="0.2">
      <c r="A31" s="64">
        <v>28</v>
      </c>
      <c r="B31" s="47">
        <v>925</v>
      </c>
      <c r="C31" s="47">
        <v>924</v>
      </c>
      <c r="D31" s="47">
        <v>922</v>
      </c>
      <c r="E31" s="47">
        <v>920</v>
      </c>
      <c r="F31" s="47">
        <v>916</v>
      </c>
      <c r="G31" s="47">
        <v>910</v>
      </c>
      <c r="H31" s="47">
        <v>904</v>
      </c>
      <c r="I31" s="47">
        <v>897</v>
      </c>
      <c r="J31" s="47">
        <v>888</v>
      </c>
      <c r="K31" s="47">
        <v>879</v>
      </c>
      <c r="L31" s="47">
        <v>869</v>
      </c>
      <c r="M31" s="47">
        <v>858</v>
      </c>
      <c r="N31" s="47">
        <v>846</v>
      </c>
      <c r="O31" s="47">
        <v>834</v>
      </c>
      <c r="P31" s="47">
        <v>821</v>
      </c>
      <c r="Q31" s="47">
        <v>807</v>
      </c>
      <c r="R31" s="47">
        <v>793</v>
      </c>
      <c r="S31" s="47">
        <v>778</v>
      </c>
      <c r="T31" s="47">
        <v>763</v>
      </c>
      <c r="U31" s="47">
        <v>748</v>
      </c>
      <c r="V31" s="47">
        <v>733</v>
      </c>
      <c r="W31" s="47">
        <v>718</v>
      </c>
      <c r="X31" s="47">
        <v>702</v>
      </c>
      <c r="Y31" s="47">
        <v>687</v>
      </c>
      <c r="Z31" s="47">
        <v>672</v>
      </c>
      <c r="AA31" s="47">
        <v>658</v>
      </c>
      <c r="AB31" s="47">
        <v>644</v>
      </c>
      <c r="AC31" s="47">
        <v>631</v>
      </c>
      <c r="AD31" s="47">
        <v>620</v>
      </c>
      <c r="AE31" s="47">
        <v>609</v>
      </c>
      <c r="AF31" s="47">
        <v>600</v>
      </c>
      <c r="AG31" s="47">
        <v>593</v>
      </c>
      <c r="AH31" s="47">
        <v>586</v>
      </c>
      <c r="AI31" s="47">
        <v>581</v>
      </c>
      <c r="AJ31" s="47">
        <v>578</v>
      </c>
      <c r="AK31" s="47">
        <v>576</v>
      </c>
      <c r="AL31" s="45"/>
      <c r="AM31" s="45"/>
      <c r="AN31" s="45"/>
    </row>
    <row r="32" spans="1:40" ht="15" x14ac:dyDescent="0.2">
      <c r="A32" s="64">
        <v>29</v>
      </c>
      <c r="B32" s="47">
        <v>927</v>
      </c>
      <c r="C32" s="47">
        <v>926</v>
      </c>
      <c r="D32" s="47">
        <v>925</v>
      </c>
      <c r="E32" s="47">
        <v>922</v>
      </c>
      <c r="F32" s="47">
        <v>917</v>
      </c>
      <c r="G32" s="47">
        <v>912</v>
      </c>
      <c r="H32" s="47">
        <v>906</v>
      </c>
      <c r="I32" s="47">
        <v>898</v>
      </c>
      <c r="J32" s="47">
        <v>890</v>
      </c>
      <c r="K32" s="47">
        <v>880</v>
      </c>
      <c r="L32" s="47">
        <v>870</v>
      </c>
      <c r="M32" s="47">
        <v>859</v>
      </c>
      <c r="N32" s="47">
        <v>847</v>
      </c>
      <c r="O32" s="47">
        <v>834</v>
      </c>
      <c r="P32" s="47">
        <v>820</v>
      </c>
      <c r="Q32" s="47">
        <v>806</v>
      </c>
      <c r="R32" s="47">
        <v>792</v>
      </c>
      <c r="S32" s="47">
        <v>777</v>
      </c>
      <c r="T32" s="47">
        <v>762</v>
      </c>
      <c r="U32" s="47">
        <v>746</v>
      </c>
      <c r="V32" s="47">
        <v>730</v>
      </c>
      <c r="W32" s="47">
        <v>714</v>
      </c>
      <c r="X32" s="47">
        <v>699</v>
      </c>
      <c r="Y32" s="47">
        <v>683</v>
      </c>
      <c r="Z32" s="47">
        <v>668</v>
      </c>
      <c r="AA32" s="47">
        <v>653</v>
      </c>
      <c r="AB32" s="47">
        <v>639</v>
      </c>
      <c r="AC32" s="47">
        <v>626</v>
      </c>
      <c r="AD32" s="47">
        <v>614</v>
      </c>
      <c r="AE32" s="47">
        <v>603</v>
      </c>
      <c r="AF32" s="47">
        <v>594</v>
      </c>
      <c r="AG32" s="47">
        <v>586</v>
      </c>
      <c r="AH32" s="47">
        <v>579</v>
      </c>
      <c r="AI32" s="47">
        <v>574</v>
      </c>
      <c r="AJ32" s="47">
        <v>570</v>
      </c>
      <c r="AK32" s="47">
        <v>568</v>
      </c>
      <c r="AL32" s="45"/>
      <c r="AM32" s="45"/>
      <c r="AN32" s="45"/>
    </row>
    <row r="33" spans="1:40" ht="15" x14ac:dyDescent="0.2">
      <c r="A33" s="64">
        <v>30</v>
      </c>
      <c r="B33" s="47">
        <v>929</v>
      </c>
      <c r="C33" s="47">
        <v>928</v>
      </c>
      <c r="D33" s="47">
        <v>926</v>
      </c>
      <c r="E33" s="47">
        <v>923</v>
      </c>
      <c r="F33" s="47">
        <v>919</v>
      </c>
      <c r="G33" s="47">
        <v>914</v>
      </c>
      <c r="H33" s="47">
        <v>907</v>
      </c>
      <c r="I33" s="47">
        <v>900</v>
      </c>
      <c r="J33" s="47">
        <v>891</v>
      </c>
      <c r="K33" s="47">
        <v>881</v>
      </c>
      <c r="L33" s="47">
        <v>870</v>
      </c>
      <c r="M33" s="47">
        <v>859</v>
      </c>
      <c r="N33" s="47">
        <v>847</v>
      </c>
      <c r="O33" s="47">
        <v>833</v>
      </c>
      <c r="P33" s="47">
        <v>820</v>
      </c>
      <c r="Q33" s="47">
        <v>805</v>
      </c>
      <c r="R33" s="47">
        <v>790</v>
      </c>
      <c r="S33" s="47">
        <v>775</v>
      </c>
      <c r="T33" s="47">
        <v>760</v>
      </c>
      <c r="U33" s="47">
        <v>744</v>
      </c>
      <c r="V33" s="47">
        <v>728</v>
      </c>
      <c r="W33" s="47">
        <v>712</v>
      </c>
      <c r="X33" s="47">
        <v>695</v>
      </c>
      <c r="Y33" s="47">
        <v>679</v>
      </c>
      <c r="Z33" s="47">
        <v>664</v>
      </c>
      <c r="AA33" s="47">
        <v>649</v>
      </c>
      <c r="AB33" s="47">
        <v>634</v>
      </c>
      <c r="AC33" s="47">
        <v>620</v>
      </c>
      <c r="AD33" s="47">
        <v>608</v>
      </c>
      <c r="AE33" s="47">
        <v>597</v>
      </c>
      <c r="AF33" s="47">
        <v>587</v>
      </c>
      <c r="AG33" s="47">
        <v>579</v>
      </c>
      <c r="AH33" s="47">
        <v>572</v>
      </c>
      <c r="AI33" s="47">
        <v>567</v>
      </c>
      <c r="AJ33" s="47">
        <v>563</v>
      </c>
      <c r="AK33" s="47">
        <v>561</v>
      </c>
      <c r="AL33" s="45"/>
      <c r="AM33" s="45"/>
      <c r="AN33" s="45"/>
    </row>
    <row r="34" spans="1:40" ht="15" x14ac:dyDescent="0.2">
      <c r="A34" s="64">
        <v>31</v>
      </c>
      <c r="B34" s="47">
        <v>931</v>
      </c>
      <c r="C34" s="47">
        <v>930</v>
      </c>
      <c r="D34" s="47">
        <v>928</v>
      </c>
      <c r="E34" s="47">
        <v>925</v>
      </c>
      <c r="F34" s="47">
        <v>921</v>
      </c>
      <c r="G34" s="47">
        <v>915</v>
      </c>
      <c r="H34" s="47">
        <v>908</v>
      </c>
      <c r="I34" s="47">
        <v>901</v>
      </c>
      <c r="J34" s="47">
        <v>892</v>
      </c>
      <c r="K34" s="47">
        <v>882</v>
      </c>
      <c r="L34" s="47">
        <v>871</v>
      </c>
      <c r="M34" s="47">
        <v>859</v>
      </c>
      <c r="N34" s="47">
        <v>846</v>
      </c>
      <c r="O34" s="47">
        <v>833</v>
      </c>
      <c r="P34" s="47">
        <v>819</v>
      </c>
      <c r="Q34" s="47">
        <v>804</v>
      </c>
      <c r="R34" s="47">
        <v>789</v>
      </c>
      <c r="S34" s="47">
        <v>774</v>
      </c>
      <c r="T34" s="47">
        <v>757</v>
      </c>
      <c r="U34" s="47">
        <v>741</v>
      </c>
      <c r="V34" s="47">
        <v>725</v>
      </c>
      <c r="W34" s="47">
        <v>708</v>
      </c>
      <c r="X34" s="47">
        <v>692</v>
      </c>
      <c r="Y34" s="47">
        <v>676</v>
      </c>
      <c r="Z34" s="47">
        <v>660</v>
      </c>
      <c r="AA34" s="47">
        <v>644</v>
      </c>
      <c r="AB34" s="47">
        <v>629</v>
      </c>
      <c r="AC34" s="47">
        <v>615</v>
      </c>
      <c r="AD34" s="47">
        <v>602</v>
      </c>
      <c r="AE34" s="47">
        <v>591</v>
      </c>
      <c r="AF34" s="47">
        <v>581</v>
      </c>
      <c r="AG34" s="47">
        <v>572</v>
      </c>
      <c r="AH34" s="47">
        <v>565</v>
      </c>
      <c r="AI34" s="47">
        <v>560</v>
      </c>
      <c r="AJ34" s="47">
        <v>556</v>
      </c>
      <c r="AK34" s="47">
        <v>554</v>
      </c>
      <c r="AL34" s="45"/>
      <c r="AM34" s="45"/>
      <c r="AN34" s="45"/>
    </row>
    <row r="35" spans="1:40" ht="15" x14ac:dyDescent="0.2">
      <c r="A35" s="64">
        <v>32</v>
      </c>
      <c r="B35" s="47">
        <v>932</v>
      </c>
      <c r="C35" s="47">
        <v>931</v>
      </c>
      <c r="D35" s="47">
        <v>930</v>
      </c>
      <c r="E35" s="47">
        <v>926</v>
      </c>
      <c r="F35" s="47">
        <v>922</v>
      </c>
      <c r="G35" s="47">
        <v>916</v>
      </c>
      <c r="H35" s="47">
        <v>910</v>
      </c>
      <c r="I35" s="47">
        <v>902</v>
      </c>
      <c r="J35" s="47">
        <v>892</v>
      </c>
      <c r="K35" s="47">
        <v>882</v>
      </c>
      <c r="L35" s="47">
        <v>871</v>
      </c>
      <c r="M35" s="47">
        <v>859</v>
      </c>
      <c r="N35" s="47">
        <v>846</v>
      </c>
      <c r="O35" s="47">
        <v>833</v>
      </c>
      <c r="P35" s="47">
        <v>818</v>
      </c>
      <c r="Q35" s="47">
        <v>803</v>
      </c>
      <c r="R35" s="47">
        <v>788</v>
      </c>
      <c r="S35" s="47">
        <v>772</v>
      </c>
      <c r="T35" s="47">
        <v>756</v>
      </c>
      <c r="U35" s="47">
        <v>739</v>
      </c>
      <c r="V35" s="47">
        <v>722</v>
      </c>
      <c r="W35" s="47">
        <v>705</v>
      </c>
      <c r="X35" s="47">
        <v>688</v>
      </c>
      <c r="Y35" s="47">
        <v>672</v>
      </c>
      <c r="Z35" s="47">
        <v>655</v>
      </c>
      <c r="AA35" s="47">
        <v>639</v>
      </c>
      <c r="AB35" s="47">
        <v>624</v>
      </c>
      <c r="AC35" s="47">
        <v>610</v>
      </c>
      <c r="AD35" s="47">
        <v>596</v>
      </c>
      <c r="AE35" s="47">
        <v>584</v>
      </c>
      <c r="AF35" s="47">
        <v>574</v>
      </c>
      <c r="AG35" s="47">
        <v>565</v>
      </c>
      <c r="AH35" s="47">
        <v>558</v>
      </c>
      <c r="AI35" s="47">
        <v>552</v>
      </c>
      <c r="AJ35" s="47">
        <v>549</v>
      </c>
      <c r="AK35" s="47">
        <v>546</v>
      </c>
      <c r="AL35" s="45"/>
      <c r="AM35" s="45"/>
      <c r="AN35" s="45"/>
    </row>
    <row r="36" spans="1:40" ht="15" x14ac:dyDescent="0.2">
      <c r="A36" s="64">
        <v>33</v>
      </c>
      <c r="B36" s="47">
        <v>933</v>
      </c>
      <c r="C36" s="47">
        <v>933</v>
      </c>
      <c r="D36" s="47">
        <v>931</v>
      </c>
      <c r="E36" s="47">
        <v>928</v>
      </c>
      <c r="F36" s="47">
        <v>923</v>
      </c>
      <c r="G36" s="47">
        <v>917</v>
      </c>
      <c r="H36" s="47">
        <v>910</v>
      </c>
      <c r="I36" s="47">
        <v>902</v>
      </c>
      <c r="J36" s="47">
        <v>893</v>
      </c>
      <c r="K36" s="47">
        <v>883</v>
      </c>
      <c r="L36" s="47">
        <v>871</v>
      </c>
      <c r="M36" s="47">
        <v>859</v>
      </c>
      <c r="N36" s="47">
        <v>846</v>
      </c>
      <c r="O36" s="47">
        <v>832</v>
      </c>
      <c r="P36" s="47">
        <v>817</v>
      </c>
      <c r="Q36" s="47">
        <v>802</v>
      </c>
      <c r="R36" s="47">
        <v>786</v>
      </c>
      <c r="S36" s="47">
        <v>770</v>
      </c>
      <c r="T36" s="47">
        <v>753</v>
      </c>
      <c r="U36" s="47">
        <v>736</v>
      </c>
      <c r="V36" s="47">
        <v>719</v>
      </c>
      <c r="W36" s="47">
        <v>702</v>
      </c>
      <c r="X36" s="47">
        <v>685</v>
      </c>
      <c r="Y36" s="47">
        <v>668</v>
      </c>
      <c r="Z36" s="47">
        <v>651</v>
      </c>
      <c r="AA36" s="47">
        <v>635</v>
      </c>
      <c r="AB36" s="47">
        <v>619</v>
      </c>
      <c r="AC36" s="47">
        <v>604</v>
      </c>
      <c r="AD36" s="47">
        <v>590</v>
      </c>
      <c r="AE36" s="47">
        <v>578</v>
      </c>
      <c r="AF36" s="47">
        <v>568</v>
      </c>
      <c r="AG36" s="47">
        <v>558</v>
      </c>
      <c r="AH36" s="47">
        <v>551</v>
      </c>
      <c r="AI36" s="47">
        <v>545</v>
      </c>
      <c r="AJ36" s="47">
        <v>541</v>
      </c>
      <c r="AK36" s="47">
        <v>538</v>
      </c>
      <c r="AL36" s="45"/>
      <c r="AM36" s="45"/>
      <c r="AN36" s="45"/>
    </row>
    <row r="37" spans="1:40" ht="15" x14ac:dyDescent="0.2">
      <c r="A37" s="64">
        <v>34</v>
      </c>
      <c r="B37" s="47">
        <v>935</v>
      </c>
      <c r="C37" s="47">
        <v>934</v>
      </c>
      <c r="D37" s="47">
        <v>932</v>
      </c>
      <c r="E37" s="47">
        <v>929</v>
      </c>
      <c r="F37" s="47">
        <v>924</v>
      </c>
      <c r="G37" s="47">
        <v>918</v>
      </c>
      <c r="H37" s="47">
        <v>911</v>
      </c>
      <c r="I37" s="47">
        <v>903</v>
      </c>
      <c r="J37" s="47">
        <v>893</v>
      </c>
      <c r="K37" s="47">
        <v>883</v>
      </c>
      <c r="L37" s="47">
        <v>871</v>
      </c>
      <c r="M37" s="47">
        <v>859</v>
      </c>
      <c r="N37" s="47">
        <v>845</v>
      </c>
      <c r="O37" s="47">
        <v>831</v>
      </c>
      <c r="P37" s="47">
        <v>816</v>
      </c>
      <c r="Q37" s="47">
        <v>801</v>
      </c>
      <c r="R37" s="47">
        <v>785</v>
      </c>
      <c r="S37" s="47">
        <v>768</v>
      </c>
      <c r="T37" s="47">
        <v>751</v>
      </c>
      <c r="U37" s="47">
        <v>734</v>
      </c>
      <c r="V37" s="47">
        <v>716</v>
      </c>
      <c r="W37" s="47">
        <v>699</v>
      </c>
      <c r="X37" s="47">
        <v>681</v>
      </c>
      <c r="Y37" s="47">
        <v>664</v>
      </c>
      <c r="Z37" s="47">
        <v>647</v>
      </c>
      <c r="AA37" s="47">
        <v>630</v>
      </c>
      <c r="AB37" s="47">
        <v>614</v>
      </c>
      <c r="AC37" s="47">
        <v>599</v>
      </c>
      <c r="AD37" s="47">
        <v>585</v>
      </c>
      <c r="AE37" s="47">
        <v>572</v>
      </c>
      <c r="AF37" s="47">
        <v>561</v>
      </c>
      <c r="AG37" s="47">
        <v>552</v>
      </c>
      <c r="AH37" s="47">
        <v>544</v>
      </c>
      <c r="AI37" s="47">
        <v>538</v>
      </c>
      <c r="AJ37" s="47">
        <v>534</v>
      </c>
      <c r="AK37" s="47">
        <v>531</v>
      </c>
      <c r="AL37" s="45"/>
      <c r="AM37" s="45"/>
      <c r="AN37" s="45"/>
    </row>
    <row r="38" spans="1:40" ht="15" x14ac:dyDescent="0.2">
      <c r="A38" s="64">
        <v>35</v>
      </c>
      <c r="B38" s="47">
        <v>935</v>
      </c>
      <c r="C38" s="47">
        <v>935</v>
      </c>
      <c r="D38" s="47">
        <v>933</v>
      </c>
      <c r="E38" s="47">
        <v>929</v>
      </c>
      <c r="F38" s="47">
        <v>925</v>
      </c>
      <c r="G38" s="47">
        <v>919</v>
      </c>
      <c r="H38" s="47">
        <v>912</v>
      </c>
      <c r="I38" s="47">
        <v>903</v>
      </c>
      <c r="J38" s="47">
        <v>894</v>
      </c>
      <c r="K38" s="47">
        <v>883</v>
      </c>
      <c r="L38" s="47">
        <v>871</v>
      </c>
      <c r="M38" s="47">
        <v>858</v>
      </c>
      <c r="N38" s="47">
        <v>845</v>
      </c>
      <c r="O38" s="47">
        <v>830</v>
      </c>
      <c r="P38" s="47">
        <v>815</v>
      </c>
      <c r="Q38" s="47">
        <v>799</v>
      </c>
      <c r="R38" s="47">
        <v>783</v>
      </c>
      <c r="S38" s="47">
        <v>766</v>
      </c>
      <c r="T38" s="47">
        <v>749</v>
      </c>
      <c r="U38" s="47">
        <v>731</v>
      </c>
      <c r="V38" s="47">
        <v>714</v>
      </c>
      <c r="W38" s="47">
        <v>696</v>
      </c>
      <c r="X38" s="47">
        <v>678</v>
      </c>
      <c r="Y38" s="47">
        <v>660</v>
      </c>
      <c r="Z38" s="47">
        <v>643</v>
      </c>
      <c r="AA38" s="47">
        <v>626</v>
      </c>
      <c r="AB38" s="47">
        <v>609</v>
      </c>
      <c r="AC38" s="47">
        <v>594</v>
      </c>
      <c r="AD38" s="47">
        <v>579</v>
      </c>
      <c r="AE38" s="47">
        <v>566</v>
      </c>
      <c r="AF38" s="47">
        <v>555</v>
      </c>
      <c r="AG38" s="47">
        <v>545</v>
      </c>
      <c r="AH38" s="47">
        <v>537</v>
      </c>
      <c r="AI38" s="47">
        <v>531</v>
      </c>
      <c r="AJ38" s="47">
        <v>526</v>
      </c>
      <c r="AK38" s="47">
        <v>523</v>
      </c>
      <c r="AL38" s="45"/>
      <c r="AM38" s="45"/>
      <c r="AN38" s="45"/>
    </row>
    <row r="39" spans="1:40" ht="15" x14ac:dyDescent="0.2">
      <c r="A39" s="64">
        <v>36</v>
      </c>
      <c r="B39" s="47">
        <v>936</v>
      </c>
      <c r="C39" s="47">
        <v>935</v>
      </c>
      <c r="D39" s="47">
        <v>933</v>
      </c>
      <c r="E39" s="47">
        <v>930</v>
      </c>
      <c r="F39" s="47">
        <v>925</v>
      </c>
      <c r="G39" s="47">
        <v>919</v>
      </c>
      <c r="H39" s="47">
        <v>912</v>
      </c>
      <c r="I39" s="47">
        <v>903</v>
      </c>
      <c r="J39" s="47">
        <v>894</v>
      </c>
      <c r="K39" s="47">
        <v>883</v>
      </c>
      <c r="L39" s="47">
        <v>871</v>
      </c>
      <c r="M39" s="47">
        <v>858</v>
      </c>
      <c r="N39" s="47">
        <v>844</v>
      </c>
      <c r="O39" s="47">
        <v>829</v>
      </c>
      <c r="P39" s="47">
        <v>814</v>
      </c>
      <c r="Q39" s="47">
        <v>798</v>
      </c>
      <c r="R39" s="47">
        <v>781</v>
      </c>
      <c r="S39" s="47">
        <v>764</v>
      </c>
      <c r="T39" s="47">
        <v>746</v>
      </c>
      <c r="U39" s="47">
        <v>728</v>
      </c>
      <c r="V39" s="47">
        <v>711</v>
      </c>
      <c r="W39" s="47">
        <v>692</v>
      </c>
      <c r="X39" s="47">
        <v>674</v>
      </c>
      <c r="Y39" s="47">
        <v>656</v>
      </c>
      <c r="Z39" s="47">
        <v>638</v>
      </c>
      <c r="AA39" s="47">
        <v>621</v>
      </c>
      <c r="AB39" s="47">
        <v>605</v>
      </c>
      <c r="AC39" s="47">
        <v>589</v>
      </c>
      <c r="AD39" s="47">
        <v>574</v>
      </c>
      <c r="AE39" s="47">
        <v>560</v>
      </c>
      <c r="AF39" s="47">
        <v>548</v>
      </c>
      <c r="AG39" s="47">
        <v>538</v>
      </c>
      <c r="AH39" s="47">
        <v>530</v>
      </c>
      <c r="AI39" s="47">
        <v>524</v>
      </c>
      <c r="AJ39" s="47">
        <v>519</v>
      </c>
      <c r="AK39" s="47">
        <v>516</v>
      </c>
      <c r="AL39" s="45"/>
      <c r="AM39" s="45"/>
      <c r="AN39" s="45"/>
    </row>
    <row r="40" spans="1:40" ht="15" x14ac:dyDescent="0.2">
      <c r="A40" s="64">
        <v>37</v>
      </c>
      <c r="B40" s="47">
        <v>937</v>
      </c>
      <c r="C40" s="47">
        <v>936</v>
      </c>
      <c r="D40" s="47">
        <v>934</v>
      </c>
      <c r="E40" s="47">
        <v>930</v>
      </c>
      <c r="F40" s="47">
        <v>926</v>
      </c>
      <c r="G40" s="47">
        <v>919</v>
      </c>
      <c r="H40" s="47">
        <v>912</v>
      </c>
      <c r="I40" s="47">
        <v>903</v>
      </c>
      <c r="J40" s="47">
        <v>893</v>
      </c>
      <c r="K40" s="47">
        <v>882</v>
      </c>
      <c r="L40" s="47">
        <v>870</v>
      </c>
      <c r="M40" s="47">
        <v>857</v>
      </c>
      <c r="N40" s="47">
        <v>843</v>
      </c>
      <c r="O40" s="47">
        <v>828</v>
      </c>
      <c r="P40" s="47">
        <v>812</v>
      </c>
      <c r="Q40" s="47">
        <v>796</v>
      </c>
      <c r="R40" s="47">
        <v>779</v>
      </c>
      <c r="S40" s="47">
        <v>762</v>
      </c>
      <c r="T40" s="47">
        <v>744</v>
      </c>
      <c r="U40" s="47">
        <v>726</v>
      </c>
      <c r="V40" s="47">
        <v>707</v>
      </c>
      <c r="W40" s="47">
        <v>689</v>
      </c>
      <c r="X40" s="47">
        <v>671</v>
      </c>
      <c r="Y40" s="47">
        <v>652</v>
      </c>
      <c r="Z40" s="47">
        <v>634</v>
      </c>
      <c r="AA40" s="47">
        <v>617</v>
      </c>
      <c r="AB40" s="47">
        <v>600</v>
      </c>
      <c r="AC40" s="47">
        <v>583</v>
      </c>
      <c r="AD40" s="47">
        <v>568</v>
      </c>
      <c r="AE40" s="47">
        <v>554</v>
      </c>
      <c r="AF40" s="47">
        <v>542</v>
      </c>
      <c r="AG40" s="47">
        <v>532</v>
      </c>
      <c r="AH40" s="47">
        <v>523</v>
      </c>
      <c r="AI40" s="47">
        <v>517</v>
      </c>
      <c r="AJ40" s="47">
        <v>512</v>
      </c>
      <c r="AK40" s="47">
        <v>509</v>
      </c>
      <c r="AL40" s="45"/>
      <c r="AM40" s="45"/>
      <c r="AN40" s="45"/>
    </row>
    <row r="41" spans="1:40" ht="15" x14ac:dyDescent="0.2">
      <c r="A41" s="64">
        <v>38</v>
      </c>
      <c r="B41" s="47">
        <v>937</v>
      </c>
      <c r="C41" s="47">
        <v>936</v>
      </c>
      <c r="D41" s="47">
        <v>934</v>
      </c>
      <c r="E41" s="47">
        <v>931</v>
      </c>
      <c r="F41" s="47">
        <v>926</v>
      </c>
      <c r="G41" s="47">
        <v>919</v>
      </c>
      <c r="H41" s="47">
        <v>912</v>
      </c>
      <c r="I41" s="47">
        <v>903</v>
      </c>
      <c r="J41" s="47">
        <v>893</v>
      </c>
      <c r="K41" s="47">
        <v>882</v>
      </c>
      <c r="L41" s="47">
        <v>869</v>
      </c>
      <c r="M41" s="47">
        <v>856</v>
      </c>
      <c r="N41" s="47">
        <v>842</v>
      </c>
      <c r="O41" s="47">
        <v>826</v>
      </c>
      <c r="P41" s="47">
        <v>811</v>
      </c>
      <c r="Q41" s="47">
        <v>794</v>
      </c>
      <c r="R41" s="47">
        <v>777</v>
      </c>
      <c r="S41" s="47">
        <v>759</v>
      </c>
      <c r="T41" s="47">
        <v>741</v>
      </c>
      <c r="U41" s="47">
        <v>723</v>
      </c>
      <c r="V41" s="47">
        <v>704</v>
      </c>
      <c r="W41" s="47">
        <v>685</v>
      </c>
      <c r="X41" s="47">
        <v>667</v>
      </c>
      <c r="Y41" s="47">
        <v>648</v>
      </c>
      <c r="Z41" s="47">
        <v>630</v>
      </c>
      <c r="AA41" s="47">
        <v>612</v>
      </c>
      <c r="AB41" s="47">
        <v>595</v>
      </c>
      <c r="AC41" s="47">
        <v>578</v>
      </c>
      <c r="AD41" s="47">
        <v>562</v>
      </c>
      <c r="AE41" s="47">
        <v>548</v>
      </c>
      <c r="AF41" s="47">
        <v>536</v>
      </c>
      <c r="AG41" s="47">
        <v>525</v>
      </c>
      <c r="AH41" s="47">
        <v>517</v>
      </c>
      <c r="AI41" s="47">
        <v>510</v>
      </c>
      <c r="AJ41" s="47">
        <v>505</v>
      </c>
      <c r="AK41" s="47">
        <v>502</v>
      </c>
      <c r="AL41" s="45"/>
      <c r="AM41" s="45"/>
      <c r="AN41" s="45"/>
    </row>
    <row r="42" spans="1:40" ht="15" x14ac:dyDescent="0.2">
      <c r="A42" s="64">
        <v>39</v>
      </c>
      <c r="B42" s="47">
        <v>937</v>
      </c>
      <c r="C42" s="47">
        <v>936</v>
      </c>
      <c r="D42" s="47">
        <v>934</v>
      </c>
      <c r="E42" s="47">
        <v>931</v>
      </c>
      <c r="F42" s="47">
        <v>926</v>
      </c>
      <c r="G42" s="47">
        <v>919</v>
      </c>
      <c r="H42" s="47">
        <v>912</v>
      </c>
      <c r="I42" s="47">
        <v>903</v>
      </c>
      <c r="J42" s="47">
        <v>892</v>
      </c>
      <c r="K42" s="47">
        <v>881</v>
      </c>
      <c r="L42" s="47">
        <v>868</v>
      </c>
      <c r="M42" s="47">
        <v>855</v>
      </c>
      <c r="N42" s="47">
        <v>840</v>
      </c>
      <c r="O42" s="47">
        <v>825</v>
      </c>
      <c r="P42" s="47">
        <v>809</v>
      </c>
      <c r="Q42" s="47">
        <v>792</v>
      </c>
      <c r="R42" s="47">
        <v>775</v>
      </c>
      <c r="S42" s="47">
        <v>757</v>
      </c>
      <c r="T42" s="47">
        <v>738</v>
      </c>
      <c r="U42" s="47">
        <v>720</v>
      </c>
      <c r="V42" s="47">
        <v>701</v>
      </c>
      <c r="W42" s="47">
        <v>682</v>
      </c>
      <c r="X42" s="47">
        <v>663</v>
      </c>
      <c r="Y42" s="47">
        <v>644</v>
      </c>
      <c r="Z42" s="47">
        <v>626</v>
      </c>
      <c r="AA42" s="47">
        <v>607</v>
      </c>
      <c r="AB42" s="47">
        <v>590</v>
      </c>
      <c r="AC42" s="47">
        <v>573</v>
      </c>
      <c r="AD42" s="47">
        <v>557</v>
      </c>
      <c r="AE42" s="47">
        <v>542</v>
      </c>
      <c r="AF42" s="47">
        <v>530</v>
      </c>
      <c r="AG42" s="47">
        <v>519</v>
      </c>
      <c r="AH42" s="47">
        <v>510</v>
      </c>
      <c r="AI42" s="47">
        <v>503</v>
      </c>
      <c r="AJ42" s="47">
        <v>498</v>
      </c>
      <c r="AK42" s="47">
        <v>495</v>
      </c>
      <c r="AL42" s="45"/>
      <c r="AM42" s="45"/>
      <c r="AN42" s="45"/>
    </row>
    <row r="43" spans="1:40" ht="15" x14ac:dyDescent="0.2">
      <c r="A43" s="64">
        <v>40</v>
      </c>
      <c r="B43" s="47">
        <v>937</v>
      </c>
      <c r="C43" s="47">
        <v>936</v>
      </c>
      <c r="D43" s="47">
        <v>934</v>
      </c>
      <c r="E43" s="47">
        <v>930</v>
      </c>
      <c r="F43" s="47">
        <v>925</v>
      </c>
      <c r="G43" s="47">
        <v>919</v>
      </c>
      <c r="H43" s="47">
        <v>911</v>
      </c>
      <c r="I43" s="47">
        <v>902</v>
      </c>
      <c r="J43" s="47">
        <v>892</v>
      </c>
      <c r="K43" s="47">
        <v>880</v>
      </c>
      <c r="L43" s="47">
        <v>867</v>
      </c>
      <c r="M43" s="47">
        <v>854</v>
      </c>
      <c r="N43" s="47">
        <v>839</v>
      </c>
      <c r="O43" s="47">
        <v>823</v>
      </c>
      <c r="P43" s="47">
        <v>807</v>
      </c>
      <c r="Q43" s="47">
        <v>790</v>
      </c>
      <c r="R43" s="47">
        <v>772</v>
      </c>
      <c r="S43" s="47">
        <v>754</v>
      </c>
      <c r="T43" s="47">
        <v>736</v>
      </c>
      <c r="U43" s="47">
        <v>717</v>
      </c>
      <c r="V43" s="47">
        <v>697</v>
      </c>
      <c r="W43" s="47">
        <v>678</v>
      </c>
      <c r="X43" s="47">
        <v>659</v>
      </c>
      <c r="Y43" s="47">
        <v>640</v>
      </c>
      <c r="Z43" s="47">
        <v>621</v>
      </c>
      <c r="AA43" s="47">
        <v>603</v>
      </c>
      <c r="AB43" s="47">
        <v>585</v>
      </c>
      <c r="AC43" s="47">
        <v>568</v>
      </c>
      <c r="AD43" s="47">
        <v>552</v>
      </c>
      <c r="AE43" s="47">
        <v>536</v>
      </c>
      <c r="AF43" s="47">
        <v>523</v>
      </c>
      <c r="AG43" s="47">
        <v>512</v>
      </c>
      <c r="AH43" s="47">
        <v>503</v>
      </c>
      <c r="AI43" s="47">
        <v>496</v>
      </c>
      <c r="AJ43" s="47">
        <v>491</v>
      </c>
      <c r="AK43" s="47">
        <v>488</v>
      </c>
      <c r="AL43" s="45"/>
      <c r="AM43" s="45"/>
      <c r="AN43" s="45"/>
    </row>
    <row r="44" spans="1:40" ht="15" x14ac:dyDescent="0.2">
      <c r="A44" s="64">
        <v>41</v>
      </c>
      <c r="B44" s="47">
        <v>936</v>
      </c>
      <c r="C44" s="47">
        <v>936</v>
      </c>
      <c r="D44" s="47">
        <v>933</v>
      </c>
      <c r="E44" s="47">
        <v>930</v>
      </c>
      <c r="F44" s="47">
        <v>925</v>
      </c>
      <c r="G44" s="47">
        <v>918</v>
      </c>
      <c r="H44" s="47">
        <v>911</v>
      </c>
      <c r="I44" s="47">
        <v>901</v>
      </c>
      <c r="J44" s="47">
        <v>891</v>
      </c>
      <c r="K44" s="47">
        <v>879</v>
      </c>
      <c r="L44" s="47">
        <v>866</v>
      </c>
      <c r="M44" s="47">
        <v>852</v>
      </c>
      <c r="N44" s="47">
        <v>837</v>
      </c>
      <c r="O44" s="47">
        <v>821</v>
      </c>
      <c r="P44" s="47">
        <v>805</v>
      </c>
      <c r="Q44" s="47">
        <v>788</v>
      </c>
      <c r="R44" s="47">
        <v>770</v>
      </c>
      <c r="S44" s="47">
        <v>751</v>
      </c>
      <c r="T44" s="47">
        <v>733</v>
      </c>
      <c r="U44" s="47">
        <v>713</v>
      </c>
      <c r="V44" s="47">
        <v>694</v>
      </c>
      <c r="W44" s="47">
        <v>675</v>
      </c>
      <c r="X44" s="47">
        <v>655</v>
      </c>
      <c r="Y44" s="47">
        <v>636</v>
      </c>
      <c r="Z44" s="47">
        <v>617</v>
      </c>
      <c r="AA44" s="47">
        <v>598</v>
      </c>
      <c r="AB44" s="47">
        <v>580</v>
      </c>
      <c r="AC44" s="47">
        <v>563</v>
      </c>
      <c r="AD44" s="47">
        <v>546</v>
      </c>
      <c r="AE44" s="47">
        <v>531</v>
      </c>
      <c r="AF44" s="47">
        <v>517</v>
      </c>
      <c r="AG44" s="47">
        <v>506</v>
      </c>
      <c r="AH44" s="47">
        <v>496</v>
      </c>
      <c r="AI44" s="47">
        <v>489</v>
      </c>
      <c r="AJ44" s="47">
        <v>484</v>
      </c>
      <c r="AK44" s="47">
        <v>481</v>
      </c>
      <c r="AL44" s="45"/>
      <c r="AM44" s="45"/>
      <c r="AN44" s="45"/>
    </row>
    <row r="45" spans="1:40" ht="15" x14ac:dyDescent="0.2">
      <c r="A45" s="64">
        <v>42</v>
      </c>
      <c r="B45" s="47">
        <v>936</v>
      </c>
      <c r="C45" s="47">
        <v>935</v>
      </c>
      <c r="D45" s="47">
        <v>933</v>
      </c>
      <c r="E45" s="47">
        <v>929</v>
      </c>
      <c r="F45" s="47">
        <v>924</v>
      </c>
      <c r="G45" s="47">
        <v>918</v>
      </c>
      <c r="H45" s="47">
        <v>910</v>
      </c>
      <c r="I45" s="47">
        <v>900</v>
      </c>
      <c r="J45" s="47">
        <v>890</v>
      </c>
      <c r="K45" s="47">
        <v>878</v>
      </c>
      <c r="L45" s="47">
        <v>865</v>
      </c>
      <c r="M45" s="47">
        <v>851</v>
      </c>
      <c r="N45" s="47">
        <v>835</v>
      </c>
      <c r="O45" s="47">
        <v>819</v>
      </c>
      <c r="P45" s="47">
        <v>803</v>
      </c>
      <c r="Q45" s="47">
        <v>785</v>
      </c>
      <c r="R45" s="47">
        <v>767</v>
      </c>
      <c r="S45" s="47">
        <v>749</v>
      </c>
      <c r="T45" s="47">
        <v>730</v>
      </c>
      <c r="U45" s="47">
        <v>710</v>
      </c>
      <c r="V45" s="47">
        <v>691</v>
      </c>
      <c r="W45" s="47">
        <v>671</v>
      </c>
      <c r="X45" s="47">
        <v>651</v>
      </c>
      <c r="Y45" s="47">
        <v>632</v>
      </c>
      <c r="Z45" s="47">
        <v>612</v>
      </c>
      <c r="AA45" s="47">
        <v>594</v>
      </c>
      <c r="AB45" s="47">
        <v>575</v>
      </c>
      <c r="AC45" s="47">
        <v>558</v>
      </c>
      <c r="AD45" s="47">
        <v>541</v>
      </c>
      <c r="AE45" s="47">
        <v>525</v>
      </c>
      <c r="AF45" s="47">
        <v>511</v>
      </c>
      <c r="AG45" s="47">
        <v>499</v>
      </c>
      <c r="AH45" s="47">
        <v>490</v>
      </c>
      <c r="AI45" s="47">
        <v>482</v>
      </c>
      <c r="AJ45" s="47">
        <v>477</v>
      </c>
      <c r="AK45" s="47">
        <v>474</v>
      </c>
      <c r="AL45" s="45"/>
      <c r="AM45" s="45"/>
      <c r="AN45" s="45"/>
    </row>
    <row r="46" spans="1:40" ht="15" x14ac:dyDescent="0.2">
      <c r="A46" s="64">
        <v>43</v>
      </c>
      <c r="B46" s="47">
        <v>935</v>
      </c>
      <c r="C46" s="47">
        <v>934</v>
      </c>
      <c r="D46" s="47">
        <v>932</v>
      </c>
      <c r="E46" s="47">
        <v>928</v>
      </c>
      <c r="F46" s="47">
        <v>923</v>
      </c>
      <c r="G46" s="47">
        <v>917</v>
      </c>
      <c r="H46" s="47">
        <v>909</v>
      </c>
      <c r="I46" s="47">
        <v>899</v>
      </c>
      <c r="J46" s="47">
        <v>888</v>
      </c>
      <c r="K46" s="47">
        <v>876</v>
      </c>
      <c r="L46" s="47">
        <v>863</v>
      </c>
      <c r="M46" s="47">
        <v>849</v>
      </c>
      <c r="N46" s="47">
        <v>833</v>
      </c>
      <c r="O46" s="47">
        <v>817</v>
      </c>
      <c r="P46" s="47">
        <v>800</v>
      </c>
      <c r="Q46" s="47">
        <v>783</v>
      </c>
      <c r="R46" s="47">
        <v>764</v>
      </c>
      <c r="S46" s="47">
        <v>746</v>
      </c>
      <c r="T46" s="47">
        <v>726</v>
      </c>
      <c r="U46" s="47">
        <v>707</v>
      </c>
      <c r="V46" s="47">
        <v>687</v>
      </c>
      <c r="W46" s="47">
        <v>667</v>
      </c>
      <c r="X46" s="47">
        <v>647</v>
      </c>
      <c r="Y46" s="47">
        <v>627</v>
      </c>
      <c r="Z46" s="47">
        <v>608</v>
      </c>
      <c r="AA46" s="47">
        <v>589</v>
      </c>
      <c r="AB46" s="47">
        <v>570</v>
      </c>
      <c r="AC46" s="47">
        <v>553</v>
      </c>
      <c r="AD46" s="47">
        <v>535</v>
      </c>
      <c r="AE46" s="47">
        <v>519</v>
      </c>
      <c r="AF46" s="47">
        <v>505</v>
      </c>
      <c r="AG46" s="47">
        <v>493</v>
      </c>
      <c r="AH46" s="47">
        <v>483</v>
      </c>
      <c r="AI46" s="47">
        <v>475</v>
      </c>
      <c r="AJ46" s="47">
        <v>470</v>
      </c>
      <c r="AK46" s="47">
        <v>467</v>
      </c>
      <c r="AL46" s="45"/>
      <c r="AM46" s="45"/>
      <c r="AN46" s="45"/>
    </row>
    <row r="47" spans="1:40" ht="15" x14ac:dyDescent="0.2">
      <c r="A47" s="64">
        <v>44</v>
      </c>
      <c r="B47" s="47">
        <v>934</v>
      </c>
      <c r="C47" s="47">
        <v>933</v>
      </c>
      <c r="D47" s="47">
        <v>931</v>
      </c>
      <c r="E47" s="47">
        <v>927</v>
      </c>
      <c r="F47" s="47">
        <v>922</v>
      </c>
      <c r="G47" s="47">
        <v>915</v>
      </c>
      <c r="H47" s="47">
        <v>907</v>
      </c>
      <c r="I47" s="47">
        <v>898</v>
      </c>
      <c r="J47" s="47">
        <v>887</v>
      </c>
      <c r="K47" s="47">
        <v>875</v>
      </c>
      <c r="L47" s="47">
        <v>861</v>
      </c>
      <c r="M47" s="47">
        <v>847</v>
      </c>
      <c r="N47" s="47">
        <v>831</v>
      </c>
      <c r="O47" s="47">
        <v>815</v>
      </c>
      <c r="P47" s="47">
        <v>798</v>
      </c>
      <c r="Q47" s="47">
        <v>780</v>
      </c>
      <c r="R47" s="47">
        <v>761</v>
      </c>
      <c r="S47" s="47">
        <v>742</v>
      </c>
      <c r="T47" s="47">
        <v>723</v>
      </c>
      <c r="U47" s="47">
        <v>703</v>
      </c>
      <c r="V47" s="47">
        <v>683</v>
      </c>
      <c r="W47" s="47">
        <v>663</v>
      </c>
      <c r="X47" s="47">
        <v>643</v>
      </c>
      <c r="Y47" s="47">
        <v>623</v>
      </c>
      <c r="Z47" s="47">
        <v>603</v>
      </c>
      <c r="AA47" s="47">
        <v>584</v>
      </c>
      <c r="AB47" s="47">
        <v>565</v>
      </c>
      <c r="AC47" s="47">
        <v>547</v>
      </c>
      <c r="AD47" s="47">
        <v>530</v>
      </c>
      <c r="AE47" s="47">
        <v>514</v>
      </c>
      <c r="AF47" s="47">
        <v>499</v>
      </c>
      <c r="AG47" s="47">
        <v>487</v>
      </c>
      <c r="AH47" s="47">
        <v>477</v>
      </c>
      <c r="AI47" s="47">
        <v>469</v>
      </c>
      <c r="AJ47" s="47">
        <v>463</v>
      </c>
      <c r="AK47" s="47">
        <v>460</v>
      </c>
      <c r="AL47" s="45"/>
      <c r="AM47" s="45"/>
      <c r="AN47" s="45"/>
    </row>
    <row r="48" spans="1:40" ht="15" x14ac:dyDescent="0.2">
      <c r="A48" s="64">
        <v>45</v>
      </c>
      <c r="B48" s="47">
        <v>933</v>
      </c>
      <c r="C48" s="47">
        <v>932</v>
      </c>
      <c r="D48" s="47">
        <v>930</v>
      </c>
      <c r="E48" s="47">
        <v>926</v>
      </c>
      <c r="F48" s="47">
        <v>921</v>
      </c>
      <c r="G48" s="47">
        <v>914</v>
      </c>
      <c r="H48" s="47">
        <v>906</v>
      </c>
      <c r="I48" s="47">
        <v>896</v>
      </c>
      <c r="J48" s="47">
        <v>885</v>
      </c>
      <c r="K48" s="47">
        <v>873</v>
      </c>
      <c r="L48" s="47">
        <v>859</v>
      </c>
      <c r="M48" s="47">
        <v>845</v>
      </c>
      <c r="N48" s="47">
        <v>829</v>
      </c>
      <c r="O48" s="47">
        <v>813</v>
      </c>
      <c r="P48" s="47">
        <v>795</v>
      </c>
      <c r="Q48" s="47">
        <v>777</v>
      </c>
      <c r="R48" s="47">
        <v>759</v>
      </c>
      <c r="S48" s="47">
        <v>739</v>
      </c>
      <c r="T48" s="47">
        <v>720</v>
      </c>
      <c r="U48" s="47">
        <v>700</v>
      </c>
      <c r="V48" s="47">
        <v>680</v>
      </c>
      <c r="W48" s="47">
        <v>659</v>
      </c>
      <c r="X48" s="47">
        <v>639</v>
      </c>
      <c r="Y48" s="47">
        <v>619</v>
      </c>
      <c r="Z48" s="47">
        <v>599</v>
      </c>
      <c r="AA48" s="47">
        <v>579</v>
      </c>
      <c r="AB48" s="47">
        <v>561</v>
      </c>
      <c r="AC48" s="47">
        <v>542</v>
      </c>
      <c r="AD48" s="47">
        <v>525</v>
      </c>
      <c r="AE48" s="47">
        <v>508</v>
      </c>
      <c r="AF48" s="47">
        <v>493</v>
      </c>
      <c r="AG48" s="47">
        <v>481</v>
      </c>
      <c r="AH48" s="47">
        <v>470</v>
      </c>
      <c r="AI48" s="47">
        <v>462</v>
      </c>
      <c r="AJ48" s="47">
        <v>456</v>
      </c>
      <c r="AK48" s="47">
        <v>453</v>
      </c>
      <c r="AL48" s="45"/>
      <c r="AM48" s="45"/>
      <c r="AN48" s="45"/>
    </row>
    <row r="49" spans="1:40" ht="15" x14ac:dyDescent="0.2">
      <c r="A49" s="64">
        <v>46</v>
      </c>
      <c r="B49" s="47">
        <v>931</v>
      </c>
      <c r="C49" s="47">
        <v>931</v>
      </c>
      <c r="D49" s="47">
        <v>928</v>
      </c>
      <c r="E49" s="47">
        <v>924</v>
      </c>
      <c r="F49" s="47">
        <v>919</v>
      </c>
      <c r="G49" s="47">
        <v>912</v>
      </c>
      <c r="H49" s="47">
        <v>904</v>
      </c>
      <c r="I49" s="47">
        <v>894</v>
      </c>
      <c r="J49" s="47">
        <v>883</v>
      </c>
      <c r="K49" s="47">
        <v>871</v>
      </c>
      <c r="L49" s="47">
        <v>857</v>
      </c>
      <c r="M49" s="47">
        <v>842</v>
      </c>
      <c r="N49" s="47">
        <v>827</v>
      </c>
      <c r="O49" s="47">
        <v>810</v>
      </c>
      <c r="P49" s="47">
        <v>792</v>
      </c>
      <c r="Q49" s="47">
        <v>774</v>
      </c>
      <c r="R49" s="47">
        <v>755</v>
      </c>
      <c r="S49" s="47">
        <v>736</v>
      </c>
      <c r="T49" s="47">
        <v>716</v>
      </c>
      <c r="U49" s="47">
        <v>696</v>
      </c>
      <c r="V49" s="47">
        <v>676</v>
      </c>
      <c r="W49" s="47">
        <v>655</v>
      </c>
      <c r="X49" s="47">
        <v>635</v>
      </c>
      <c r="Y49" s="47">
        <v>614</v>
      </c>
      <c r="Z49" s="47">
        <v>594</v>
      </c>
      <c r="AA49" s="47">
        <v>575</v>
      </c>
      <c r="AB49" s="47">
        <v>556</v>
      </c>
      <c r="AC49" s="47">
        <v>537</v>
      </c>
      <c r="AD49" s="47">
        <v>520</v>
      </c>
      <c r="AE49" s="47">
        <v>503</v>
      </c>
      <c r="AF49" s="47">
        <v>488</v>
      </c>
      <c r="AG49" s="47">
        <v>475</v>
      </c>
      <c r="AH49" s="47">
        <v>464</v>
      </c>
      <c r="AI49" s="47">
        <v>456</v>
      </c>
      <c r="AJ49" s="47">
        <v>450</v>
      </c>
      <c r="AK49" s="47">
        <v>446</v>
      </c>
      <c r="AL49" s="45"/>
      <c r="AM49" s="45"/>
      <c r="AN49" s="45"/>
    </row>
    <row r="50" spans="1:40" ht="15" x14ac:dyDescent="0.2">
      <c r="A50" s="64">
        <v>47</v>
      </c>
      <c r="B50" s="47">
        <v>930</v>
      </c>
      <c r="C50" s="47">
        <v>929</v>
      </c>
      <c r="D50" s="47">
        <v>927</v>
      </c>
      <c r="E50" s="47">
        <v>923</v>
      </c>
      <c r="F50" s="47">
        <v>917</v>
      </c>
      <c r="G50" s="47">
        <v>911</v>
      </c>
      <c r="H50" s="47">
        <v>902</v>
      </c>
      <c r="I50" s="47">
        <v>892</v>
      </c>
      <c r="J50" s="47">
        <v>881</v>
      </c>
      <c r="K50" s="47">
        <v>869</v>
      </c>
      <c r="L50" s="47">
        <v>855</v>
      </c>
      <c r="M50" s="47">
        <v>840</v>
      </c>
      <c r="N50" s="47">
        <v>824</v>
      </c>
      <c r="O50" s="47">
        <v>807</v>
      </c>
      <c r="P50" s="47">
        <v>790</v>
      </c>
      <c r="Q50" s="47">
        <v>771</v>
      </c>
      <c r="R50" s="47">
        <v>752</v>
      </c>
      <c r="S50" s="47">
        <v>733</v>
      </c>
      <c r="T50" s="47">
        <v>713</v>
      </c>
      <c r="U50" s="47">
        <v>692</v>
      </c>
      <c r="V50" s="47">
        <v>672</v>
      </c>
      <c r="W50" s="47">
        <v>651</v>
      </c>
      <c r="X50" s="47">
        <v>630</v>
      </c>
      <c r="Y50" s="47">
        <v>610</v>
      </c>
      <c r="Z50" s="47">
        <v>590</v>
      </c>
      <c r="AA50" s="47">
        <v>570</v>
      </c>
      <c r="AB50" s="47">
        <v>551</v>
      </c>
      <c r="AC50" s="47">
        <v>532</v>
      </c>
      <c r="AD50" s="47">
        <v>514</v>
      </c>
      <c r="AE50" s="47">
        <v>498</v>
      </c>
      <c r="AF50" s="47">
        <v>482</v>
      </c>
      <c r="AG50" s="47">
        <v>469</v>
      </c>
      <c r="AH50" s="47">
        <v>458</v>
      </c>
      <c r="AI50" s="47">
        <v>449</v>
      </c>
      <c r="AJ50" s="47">
        <v>443</v>
      </c>
      <c r="AK50" s="47">
        <v>439</v>
      </c>
      <c r="AL50" s="45"/>
      <c r="AM50" s="45"/>
      <c r="AN50" s="45"/>
    </row>
    <row r="51" spans="1:40" ht="15" x14ac:dyDescent="0.2">
      <c r="A51" s="64">
        <v>48</v>
      </c>
      <c r="B51" s="47">
        <v>928</v>
      </c>
      <c r="C51" s="47">
        <v>927</v>
      </c>
      <c r="D51" s="47">
        <v>925</v>
      </c>
      <c r="E51" s="47">
        <v>921</v>
      </c>
      <c r="F51" s="47">
        <v>915</v>
      </c>
      <c r="G51" s="47">
        <v>909</v>
      </c>
      <c r="H51" s="47">
        <v>900</v>
      </c>
      <c r="I51" s="47">
        <v>890</v>
      </c>
      <c r="J51" s="47">
        <v>879</v>
      </c>
      <c r="K51" s="47">
        <v>866</v>
      </c>
      <c r="L51" s="47">
        <v>852</v>
      </c>
      <c r="M51" s="47">
        <v>837</v>
      </c>
      <c r="N51" s="47">
        <v>821</v>
      </c>
      <c r="O51" s="47">
        <v>804</v>
      </c>
      <c r="P51" s="47">
        <v>787</v>
      </c>
      <c r="Q51" s="47">
        <v>768</v>
      </c>
      <c r="R51" s="47">
        <v>749</v>
      </c>
      <c r="S51" s="47">
        <v>729</v>
      </c>
      <c r="T51" s="47">
        <v>709</v>
      </c>
      <c r="U51" s="47">
        <v>688</v>
      </c>
      <c r="V51" s="47">
        <v>668</v>
      </c>
      <c r="W51" s="47">
        <v>647</v>
      </c>
      <c r="X51" s="47">
        <v>626</v>
      </c>
      <c r="Y51" s="47">
        <v>605</v>
      </c>
      <c r="Z51" s="47">
        <v>585</v>
      </c>
      <c r="AA51" s="47">
        <v>565</v>
      </c>
      <c r="AB51" s="47">
        <v>546</v>
      </c>
      <c r="AC51" s="47">
        <v>527</v>
      </c>
      <c r="AD51" s="47">
        <v>509</v>
      </c>
      <c r="AE51" s="47">
        <v>492</v>
      </c>
      <c r="AF51" s="47">
        <v>476</v>
      </c>
      <c r="AG51" s="47">
        <v>463</v>
      </c>
      <c r="AH51" s="47">
        <v>452</v>
      </c>
      <c r="AI51" s="47">
        <v>443</v>
      </c>
      <c r="AJ51" s="47">
        <v>437</v>
      </c>
      <c r="AK51" s="47">
        <v>433</v>
      </c>
      <c r="AL51" s="45"/>
      <c r="AM51" s="45"/>
      <c r="AN51" s="45"/>
    </row>
    <row r="52" spans="1:40" ht="15" x14ac:dyDescent="0.2">
      <c r="A52" s="64">
        <v>49</v>
      </c>
      <c r="B52" s="47">
        <v>926</v>
      </c>
      <c r="C52" s="47">
        <v>925</v>
      </c>
      <c r="D52" s="47">
        <v>923</v>
      </c>
      <c r="E52" s="47">
        <v>919</v>
      </c>
      <c r="F52" s="47">
        <v>913</v>
      </c>
      <c r="G52" s="47">
        <v>906</v>
      </c>
      <c r="H52" s="47">
        <v>898</v>
      </c>
      <c r="I52" s="47">
        <v>888</v>
      </c>
      <c r="J52" s="47">
        <v>876</v>
      </c>
      <c r="K52" s="47">
        <v>864</v>
      </c>
      <c r="L52" s="47">
        <v>850</v>
      </c>
      <c r="M52" s="47">
        <v>834</v>
      </c>
      <c r="N52" s="47">
        <v>818</v>
      </c>
      <c r="O52" s="47">
        <v>801</v>
      </c>
      <c r="P52" s="47">
        <v>783</v>
      </c>
      <c r="Q52" s="47">
        <v>765</v>
      </c>
      <c r="R52" s="47">
        <v>745</v>
      </c>
      <c r="S52" s="47">
        <v>725</v>
      </c>
      <c r="T52" s="47">
        <v>705</v>
      </c>
      <c r="U52" s="47">
        <v>684</v>
      </c>
      <c r="V52" s="47">
        <v>664</v>
      </c>
      <c r="W52" s="47">
        <v>643</v>
      </c>
      <c r="X52" s="47">
        <v>622</v>
      </c>
      <c r="Y52" s="47">
        <v>601</v>
      </c>
      <c r="Z52" s="47">
        <v>580</v>
      </c>
      <c r="AA52" s="47">
        <v>560</v>
      </c>
      <c r="AB52" s="47">
        <v>541</v>
      </c>
      <c r="AC52" s="47">
        <v>522</v>
      </c>
      <c r="AD52" s="47">
        <v>504</v>
      </c>
      <c r="AE52" s="47">
        <v>487</v>
      </c>
      <c r="AF52" s="47">
        <v>471</v>
      </c>
      <c r="AG52" s="47">
        <v>457</v>
      </c>
      <c r="AH52" s="47">
        <v>445</v>
      </c>
      <c r="AI52" s="47">
        <v>437</v>
      </c>
      <c r="AJ52" s="47">
        <v>430</v>
      </c>
      <c r="AK52" s="47">
        <v>426</v>
      </c>
      <c r="AL52" s="45"/>
      <c r="AM52" s="45"/>
      <c r="AN52" s="45"/>
    </row>
    <row r="53" spans="1:40" ht="15" x14ac:dyDescent="0.2">
      <c r="A53" s="64">
        <v>50</v>
      </c>
      <c r="B53" s="47">
        <v>923</v>
      </c>
      <c r="C53" s="47">
        <v>923</v>
      </c>
      <c r="D53" s="47">
        <v>920</v>
      </c>
      <c r="E53" s="47">
        <v>916</v>
      </c>
      <c r="F53" s="47">
        <v>911</v>
      </c>
      <c r="G53" s="47">
        <v>904</v>
      </c>
      <c r="H53" s="47">
        <v>895</v>
      </c>
      <c r="I53" s="47">
        <v>885</v>
      </c>
      <c r="J53" s="47">
        <v>874</v>
      </c>
      <c r="K53" s="47">
        <v>861</v>
      </c>
      <c r="L53" s="47">
        <v>847</v>
      </c>
      <c r="M53" s="47">
        <v>832</v>
      </c>
      <c r="N53" s="47">
        <v>815</v>
      </c>
      <c r="O53" s="47">
        <v>798</v>
      </c>
      <c r="P53" s="47">
        <v>780</v>
      </c>
      <c r="Q53" s="47">
        <v>761</v>
      </c>
      <c r="R53" s="47">
        <v>742</v>
      </c>
      <c r="S53" s="47">
        <v>722</v>
      </c>
      <c r="T53" s="47">
        <v>701</v>
      </c>
      <c r="U53" s="47">
        <v>680</v>
      </c>
      <c r="V53" s="47">
        <v>659</v>
      </c>
      <c r="W53" s="47">
        <v>638</v>
      </c>
      <c r="X53" s="47">
        <v>617</v>
      </c>
      <c r="Y53" s="47">
        <v>596</v>
      </c>
      <c r="Z53" s="47">
        <v>575</v>
      </c>
      <c r="AA53" s="47">
        <v>555</v>
      </c>
      <c r="AB53" s="47">
        <v>536</v>
      </c>
      <c r="AC53" s="47">
        <v>517</v>
      </c>
      <c r="AD53" s="47">
        <v>499</v>
      </c>
      <c r="AE53" s="47">
        <v>481</v>
      </c>
      <c r="AF53" s="47">
        <v>465</v>
      </c>
      <c r="AG53" s="47">
        <v>451</v>
      </c>
      <c r="AH53" s="47">
        <v>439</v>
      </c>
      <c r="AI53" s="47">
        <v>430</v>
      </c>
      <c r="AJ53" s="47">
        <v>424</v>
      </c>
      <c r="AK53" s="47">
        <v>420</v>
      </c>
      <c r="AL53" s="45"/>
      <c r="AM53" s="45"/>
      <c r="AN53" s="45"/>
    </row>
    <row r="54" spans="1:40" ht="15" x14ac:dyDescent="0.2">
      <c r="A54" s="64">
        <v>51</v>
      </c>
      <c r="B54" s="47">
        <v>921</v>
      </c>
      <c r="C54" s="47">
        <v>920</v>
      </c>
      <c r="D54" s="47">
        <v>918</v>
      </c>
      <c r="E54" s="47">
        <v>914</v>
      </c>
      <c r="F54" s="47">
        <v>908</v>
      </c>
      <c r="G54" s="47">
        <v>901</v>
      </c>
      <c r="H54" s="47">
        <v>893</v>
      </c>
      <c r="I54" s="47">
        <v>883</v>
      </c>
      <c r="J54" s="47">
        <v>871</v>
      </c>
      <c r="K54" s="47">
        <v>858</v>
      </c>
      <c r="L54" s="47">
        <v>844</v>
      </c>
      <c r="M54" s="47">
        <v>828</v>
      </c>
      <c r="N54" s="47">
        <v>812</v>
      </c>
      <c r="O54" s="47">
        <v>795</v>
      </c>
      <c r="P54" s="47">
        <v>776</v>
      </c>
      <c r="Q54" s="47">
        <v>758</v>
      </c>
      <c r="R54" s="47">
        <v>738</v>
      </c>
      <c r="S54" s="47">
        <v>718</v>
      </c>
      <c r="T54" s="47">
        <v>697</v>
      </c>
      <c r="U54" s="47">
        <v>676</v>
      </c>
      <c r="V54" s="47">
        <v>655</v>
      </c>
      <c r="W54" s="47">
        <v>634</v>
      </c>
      <c r="X54" s="47">
        <v>612</v>
      </c>
      <c r="Y54" s="47">
        <v>591</v>
      </c>
      <c r="Z54" s="47">
        <v>571</v>
      </c>
      <c r="AA54" s="47">
        <v>550</v>
      </c>
      <c r="AB54" s="47">
        <v>531</v>
      </c>
      <c r="AC54" s="47">
        <v>512</v>
      </c>
      <c r="AD54" s="47">
        <v>493</v>
      </c>
      <c r="AE54" s="47">
        <v>476</v>
      </c>
      <c r="AF54" s="47">
        <v>460</v>
      </c>
      <c r="AG54" s="47">
        <v>445</v>
      </c>
      <c r="AH54" s="47">
        <v>433</v>
      </c>
      <c r="AI54" s="47">
        <v>424</v>
      </c>
      <c r="AJ54" s="47">
        <v>418</v>
      </c>
      <c r="AK54" s="47">
        <v>413</v>
      </c>
      <c r="AL54" s="45"/>
      <c r="AM54" s="45"/>
      <c r="AN54" s="45"/>
    </row>
    <row r="55" spans="1:40" ht="15" x14ac:dyDescent="0.2">
      <c r="A55" s="64">
        <v>52</v>
      </c>
      <c r="B55" s="47">
        <v>918</v>
      </c>
      <c r="C55" s="47">
        <v>917</v>
      </c>
      <c r="D55" s="47">
        <v>915</v>
      </c>
      <c r="E55" s="47">
        <v>911</v>
      </c>
      <c r="F55" s="47">
        <v>905</v>
      </c>
      <c r="G55" s="47">
        <v>898</v>
      </c>
      <c r="H55" s="47">
        <v>890</v>
      </c>
      <c r="I55" s="47">
        <v>880</v>
      </c>
      <c r="J55" s="47">
        <v>868</v>
      </c>
      <c r="K55" s="47">
        <v>855</v>
      </c>
      <c r="L55" s="47">
        <v>841</v>
      </c>
      <c r="M55" s="47">
        <v>825</v>
      </c>
      <c r="N55" s="47">
        <v>809</v>
      </c>
      <c r="O55" s="47">
        <v>791</v>
      </c>
      <c r="P55" s="47">
        <v>773</v>
      </c>
      <c r="Q55" s="47">
        <v>754</v>
      </c>
      <c r="R55" s="47">
        <v>734</v>
      </c>
      <c r="S55" s="47">
        <v>714</v>
      </c>
      <c r="T55" s="47">
        <v>693</v>
      </c>
      <c r="U55" s="47">
        <v>672</v>
      </c>
      <c r="V55" s="47">
        <v>651</v>
      </c>
      <c r="W55" s="47">
        <v>629</v>
      </c>
      <c r="X55" s="47">
        <v>608</v>
      </c>
      <c r="Y55" s="47">
        <v>587</v>
      </c>
      <c r="Z55" s="47">
        <v>566</v>
      </c>
      <c r="AA55" s="47">
        <v>545</v>
      </c>
      <c r="AB55" s="47">
        <v>525</v>
      </c>
      <c r="AC55" s="47">
        <v>506</v>
      </c>
      <c r="AD55" s="47">
        <v>488</v>
      </c>
      <c r="AE55" s="47">
        <v>471</v>
      </c>
      <c r="AF55" s="47">
        <v>454</v>
      </c>
      <c r="AG55" s="47">
        <v>440</v>
      </c>
      <c r="AH55" s="47">
        <v>428</v>
      </c>
      <c r="AI55" s="47">
        <v>418</v>
      </c>
      <c r="AJ55" s="47">
        <v>411</v>
      </c>
      <c r="AK55" s="47">
        <v>407</v>
      </c>
      <c r="AL55" s="45"/>
      <c r="AM55" s="45"/>
      <c r="AN55" s="45"/>
    </row>
    <row r="56" spans="1:40" ht="15" x14ac:dyDescent="0.2">
      <c r="A56" s="64">
        <v>53</v>
      </c>
      <c r="B56" s="47">
        <v>915</v>
      </c>
      <c r="C56" s="47">
        <v>914</v>
      </c>
      <c r="D56" s="47">
        <v>912</v>
      </c>
      <c r="E56" s="47">
        <v>908</v>
      </c>
      <c r="F56" s="47">
        <v>903</v>
      </c>
      <c r="G56" s="47">
        <v>895</v>
      </c>
      <c r="H56" s="47">
        <v>887</v>
      </c>
      <c r="I56" s="47">
        <v>876</v>
      </c>
      <c r="J56" s="47">
        <v>865</v>
      </c>
      <c r="K56" s="47">
        <v>852</v>
      </c>
      <c r="L56" s="47">
        <v>837</v>
      </c>
      <c r="M56" s="47">
        <v>822</v>
      </c>
      <c r="N56" s="47">
        <v>805</v>
      </c>
      <c r="O56" s="47">
        <v>787</v>
      </c>
      <c r="P56" s="47">
        <v>769</v>
      </c>
      <c r="Q56" s="47">
        <v>750</v>
      </c>
      <c r="R56" s="47">
        <v>730</v>
      </c>
      <c r="S56" s="47">
        <v>710</v>
      </c>
      <c r="T56" s="47">
        <v>689</v>
      </c>
      <c r="U56" s="47">
        <v>668</v>
      </c>
      <c r="V56" s="47">
        <v>646</v>
      </c>
      <c r="W56" s="47">
        <v>625</v>
      </c>
      <c r="X56" s="47">
        <v>603</v>
      </c>
      <c r="Y56" s="47">
        <v>582</v>
      </c>
      <c r="Z56" s="47">
        <v>561</v>
      </c>
      <c r="AA56" s="47">
        <v>540</v>
      </c>
      <c r="AB56" s="47">
        <v>520</v>
      </c>
      <c r="AC56" s="47">
        <v>501</v>
      </c>
      <c r="AD56" s="47">
        <v>483</v>
      </c>
      <c r="AE56" s="47">
        <v>465</v>
      </c>
      <c r="AF56" s="47">
        <v>449</v>
      </c>
      <c r="AG56" s="47">
        <v>434</v>
      </c>
      <c r="AH56" s="47">
        <v>422</v>
      </c>
      <c r="AI56" s="47">
        <v>412</v>
      </c>
      <c r="AJ56" s="47">
        <v>405</v>
      </c>
      <c r="AK56" s="47">
        <v>401</v>
      </c>
      <c r="AL56" s="45"/>
      <c r="AM56" s="45"/>
      <c r="AN56" s="45"/>
    </row>
    <row r="57" spans="1:40" ht="15" x14ac:dyDescent="0.2">
      <c r="A57" s="64">
        <v>54</v>
      </c>
      <c r="B57" s="47">
        <v>912</v>
      </c>
      <c r="C57" s="47">
        <v>911</v>
      </c>
      <c r="D57" s="47">
        <v>909</v>
      </c>
      <c r="E57" s="47">
        <v>905</v>
      </c>
      <c r="F57" s="47">
        <v>899</v>
      </c>
      <c r="G57" s="47">
        <v>892</v>
      </c>
      <c r="H57" s="47">
        <v>883</v>
      </c>
      <c r="I57" s="47">
        <v>873</v>
      </c>
      <c r="J57" s="47">
        <v>861</v>
      </c>
      <c r="K57" s="47">
        <v>848</v>
      </c>
      <c r="L57" s="47">
        <v>834</v>
      </c>
      <c r="M57" s="47">
        <v>818</v>
      </c>
      <c r="N57" s="47">
        <v>801</v>
      </c>
      <c r="O57" s="47">
        <v>784</v>
      </c>
      <c r="P57" s="47">
        <v>765</v>
      </c>
      <c r="Q57" s="47">
        <v>746</v>
      </c>
      <c r="R57" s="47">
        <v>726</v>
      </c>
      <c r="S57" s="47">
        <v>705</v>
      </c>
      <c r="T57" s="47">
        <v>684</v>
      </c>
      <c r="U57" s="47">
        <v>663</v>
      </c>
      <c r="V57" s="47">
        <v>642</v>
      </c>
      <c r="W57" s="47">
        <v>620</v>
      </c>
      <c r="X57" s="47">
        <v>598</v>
      </c>
      <c r="Y57" s="47">
        <v>577</v>
      </c>
      <c r="Z57" s="47">
        <v>556</v>
      </c>
      <c r="AA57" s="47">
        <v>535</v>
      </c>
      <c r="AB57" s="47">
        <v>515</v>
      </c>
      <c r="AC57" s="47">
        <v>496</v>
      </c>
      <c r="AD57" s="47">
        <v>478</v>
      </c>
      <c r="AE57" s="47">
        <v>460</v>
      </c>
      <c r="AF57" s="47">
        <v>444</v>
      </c>
      <c r="AG57" s="47">
        <v>429</v>
      </c>
      <c r="AH57" s="47">
        <v>416</v>
      </c>
      <c r="AI57" s="47">
        <v>406</v>
      </c>
      <c r="AJ57" s="47">
        <v>399</v>
      </c>
      <c r="AK57" s="47">
        <v>395</v>
      </c>
      <c r="AL57" s="45"/>
      <c r="AM57" s="45"/>
      <c r="AN57" s="45"/>
    </row>
    <row r="58" spans="1:40" ht="15" x14ac:dyDescent="0.2">
      <c r="A58" s="64">
        <v>55</v>
      </c>
      <c r="B58" s="47">
        <v>909</v>
      </c>
      <c r="C58" s="47">
        <v>908</v>
      </c>
      <c r="D58" s="47">
        <v>906</v>
      </c>
      <c r="E58" s="47">
        <v>902</v>
      </c>
      <c r="F58" s="47">
        <v>896</v>
      </c>
      <c r="G58" s="47">
        <v>889</v>
      </c>
      <c r="H58" s="47">
        <v>880</v>
      </c>
      <c r="I58" s="47">
        <v>870</v>
      </c>
      <c r="J58" s="47">
        <v>858</v>
      </c>
      <c r="K58" s="47">
        <v>844</v>
      </c>
      <c r="L58" s="47">
        <v>830</v>
      </c>
      <c r="M58" s="47">
        <v>814</v>
      </c>
      <c r="N58" s="47">
        <v>797</v>
      </c>
      <c r="O58" s="47">
        <v>780</v>
      </c>
      <c r="P58" s="47">
        <v>761</v>
      </c>
      <c r="Q58" s="47">
        <v>742</v>
      </c>
      <c r="R58" s="47">
        <v>722</v>
      </c>
      <c r="S58" s="47">
        <v>701</v>
      </c>
      <c r="T58" s="47">
        <v>680</v>
      </c>
      <c r="U58" s="47">
        <v>659</v>
      </c>
      <c r="V58" s="47">
        <v>637</v>
      </c>
      <c r="W58" s="47">
        <v>615</v>
      </c>
      <c r="X58" s="47">
        <v>594</v>
      </c>
      <c r="Y58" s="47">
        <v>572</v>
      </c>
      <c r="Z58" s="47">
        <v>551</v>
      </c>
      <c r="AA58" s="47">
        <v>530</v>
      </c>
      <c r="AB58" s="47">
        <v>510</v>
      </c>
      <c r="AC58" s="47">
        <v>491</v>
      </c>
      <c r="AD58" s="47">
        <v>472</v>
      </c>
      <c r="AE58" s="47">
        <v>455</v>
      </c>
      <c r="AF58" s="47">
        <v>438</v>
      </c>
      <c r="AG58" s="47">
        <v>423</v>
      </c>
      <c r="AH58" s="47">
        <v>411</v>
      </c>
      <c r="AI58" s="47">
        <v>401</v>
      </c>
      <c r="AJ58" s="47">
        <v>394</v>
      </c>
      <c r="AK58" s="47">
        <v>389</v>
      </c>
      <c r="AL58" s="45"/>
      <c r="AM58" s="45"/>
      <c r="AN58" s="45"/>
    </row>
    <row r="59" spans="1:40" ht="15" x14ac:dyDescent="0.2">
      <c r="A59" s="64">
        <v>56</v>
      </c>
      <c r="B59" s="47">
        <v>905</v>
      </c>
      <c r="C59" s="47">
        <v>904</v>
      </c>
      <c r="D59" s="47">
        <v>902</v>
      </c>
      <c r="E59" s="47">
        <v>898</v>
      </c>
      <c r="F59" s="47">
        <v>892</v>
      </c>
      <c r="G59" s="47">
        <v>885</v>
      </c>
      <c r="H59" s="47">
        <v>876</v>
      </c>
      <c r="I59" s="47">
        <v>866</v>
      </c>
      <c r="J59" s="47">
        <v>854</v>
      </c>
      <c r="K59" s="47">
        <v>841</v>
      </c>
      <c r="L59" s="47">
        <v>826</v>
      </c>
      <c r="M59" s="47">
        <v>810</v>
      </c>
      <c r="N59" s="47">
        <v>793</v>
      </c>
      <c r="O59" s="47">
        <v>776</v>
      </c>
      <c r="P59" s="47">
        <v>757</v>
      </c>
      <c r="Q59" s="47">
        <v>738</v>
      </c>
      <c r="R59" s="47">
        <v>717</v>
      </c>
      <c r="S59" s="47">
        <v>697</v>
      </c>
      <c r="T59" s="47">
        <v>675</v>
      </c>
      <c r="U59" s="47">
        <v>654</v>
      </c>
      <c r="V59" s="47">
        <v>632</v>
      </c>
      <c r="W59" s="47">
        <v>610</v>
      </c>
      <c r="X59" s="47">
        <v>589</v>
      </c>
      <c r="Y59" s="47">
        <v>567</v>
      </c>
      <c r="Z59" s="47">
        <v>546</v>
      </c>
      <c r="AA59" s="47">
        <v>525</v>
      </c>
      <c r="AB59" s="47">
        <v>505</v>
      </c>
      <c r="AC59" s="47">
        <v>486</v>
      </c>
      <c r="AD59" s="47">
        <v>467</v>
      </c>
      <c r="AE59" s="47">
        <v>449</v>
      </c>
      <c r="AF59" s="47">
        <v>433</v>
      </c>
      <c r="AG59" s="47">
        <v>418</v>
      </c>
      <c r="AH59" s="47">
        <v>405</v>
      </c>
      <c r="AI59" s="47">
        <v>395</v>
      </c>
      <c r="AJ59" s="47">
        <v>388</v>
      </c>
      <c r="AK59" s="47">
        <v>383</v>
      </c>
      <c r="AL59" s="45"/>
      <c r="AM59" s="45"/>
      <c r="AN59" s="45"/>
    </row>
    <row r="60" spans="1:40" ht="15" x14ac:dyDescent="0.2">
      <c r="A60" s="64">
        <v>57</v>
      </c>
      <c r="B60" s="47">
        <v>901</v>
      </c>
      <c r="C60" s="47">
        <v>901</v>
      </c>
      <c r="D60" s="47">
        <v>898</v>
      </c>
      <c r="E60" s="47">
        <v>894</v>
      </c>
      <c r="F60" s="47">
        <v>888</v>
      </c>
      <c r="G60" s="47">
        <v>881</v>
      </c>
      <c r="H60" s="47">
        <v>872</v>
      </c>
      <c r="I60" s="47">
        <v>862</v>
      </c>
      <c r="J60" s="47">
        <v>850</v>
      </c>
      <c r="K60" s="47">
        <v>837</v>
      </c>
      <c r="L60" s="47">
        <v>822</v>
      </c>
      <c r="M60" s="47">
        <v>806</v>
      </c>
      <c r="N60" s="47">
        <v>789</v>
      </c>
      <c r="O60" s="47">
        <v>771</v>
      </c>
      <c r="P60" s="47">
        <v>753</v>
      </c>
      <c r="Q60" s="47">
        <v>733</v>
      </c>
      <c r="R60" s="47">
        <v>713</v>
      </c>
      <c r="S60" s="47">
        <v>692</v>
      </c>
      <c r="T60" s="47">
        <v>671</v>
      </c>
      <c r="U60" s="47">
        <v>649</v>
      </c>
      <c r="V60" s="47">
        <v>627</v>
      </c>
      <c r="W60" s="47">
        <v>606</v>
      </c>
      <c r="X60" s="47">
        <v>584</v>
      </c>
      <c r="Y60" s="47">
        <v>562</v>
      </c>
      <c r="Z60" s="47">
        <v>541</v>
      </c>
      <c r="AA60" s="47">
        <v>520</v>
      </c>
      <c r="AB60" s="47">
        <v>500</v>
      </c>
      <c r="AC60" s="47">
        <v>480</v>
      </c>
      <c r="AD60" s="47">
        <v>462</v>
      </c>
      <c r="AE60" s="47">
        <v>444</v>
      </c>
      <c r="AF60" s="47">
        <v>428</v>
      </c>
      <c r="AG60" s="47">
        <v>413</v>
      </c>
      <c r="AH60" s="47">
        <v>400</v>
      </c>
      <c r="AI60" s="47">
        <v>389</v>
      </c>
      <c r="AJ60" s="47">
        <v>382</v>
      </c>
      <c r="AK60" s="47">
        <v>378</v>
      </c>
      <c r="AL60" s="45"/>
      <c r="AM60" s="45"/>
      <c r="AN60" s="45"/>
    </row>
    <row r="61" spans="1:40" ht="15" x14ac:dyDescent="0.2">
      <c r="A61" s="64">
        <v>58</v>
      </c>
      <c r="B61" s="47">
        <v>897</v>
      </c>
      <c r="C61" s="47">
        <v>897</v>
      </c>
      <c r="D61" s="47">
        <v>894</v>
      </c>
      <c r="E61" s="47">
        <v>890</v>
      </c>
      <c r="F61" s="47">
        <v>884</v>
      </c>
      <c r="G61" s="47">
        <v>877</v>
      </c>
      <c r="H61" s="47">
        <v>868</v>
      </c>
      <c r="I61" s="47">
        <v>858</v>
      </c>
      <c r="J61" s="47">
        <v>846</v>
      </c>
      <c r="K61" s="47">
        <v>832</v>
      </c>
      <c r="L61" s="47">
        <v>818</v>
      </c>
      <c r="M61" s="47">
        <v>802</v>
      </c>
      <c r="N61" s="47">
        <v>785</v>
      </c>
      <c r="O61" s="47">
        <v>767</v>
      </c>
      <c r="P61" s="47">
        <v>748</v>
      </c>
      <c r="Q61" s="47">
        <v>728</v>
      </c>
      <c r="R61" s="47">
        <v>708</v>
      </c>
      <c r="S61" s="47">
        <v>687</v>
      </c>
      <c r="T61" s="47">
        <v>666</v>
      </c>
      <c r="U61" s="47">
        <v>644</v>
      </c>
      <c r="V61" s="47">
        <v>623</v>
      </c>
      <c r="W61" s="47">
        <v>600</v>
      </c>
      <c r="X61" s="47">
        <v>579</v>
      </c>
      <c r="Y61" s="47">
        <v>557</v>
      </c>
      <c r="Z61" s="47">
        <v>536</v>
      </c>
      <c r="AA61" s="47">
        <v>515</v>
      </c>
      <c r="AB61" s="47">
        <v>495</v>
      </c>
      <c r="AC61" s="47">
        <v>475</v>
      </c>
      <c r="AD61" s="47">
        <v>456</v>
      </c>
      <c r="AE61" s="47">
        <v>439</v>
      </c>
      <c r="AF61" s="47">
        <v>422</v>
      </c>
      <c r="AG61" s="47">
        <v>407</v>
      </c>
      <c r="AH61" s="47">
        <v>394</v>
      </c>
      <c r="AI61" s="47">
        <v>384</v>
      </c>
      <c r="AJ61" s="47">
        <v>376</v>
      </c>
      <c r="AK61" s="47">
        <v>372</v>
      </c>
      <c r="AL61" s="45"/>
      <c r="AM61" s="45"/>
      <c r="AN61" s="45"/>
    </row>
    <row r="62" spans="1:40" ht="15" x14ac:dyDescent="0.2">
      <c r="A62" s="64">
        <v>59</v>
      </c>
      <c r="B62" s="47">
        <v>893</v>
      </c>
      <c r="C62" s="47">
        <v>892</v>
      </c>
      <c r="D62" s="47">
        <v>890</v>
      </c>
      <c r="E62" s="47">
        <v>886</v>
      </c>
      <c r="F62" s="47">
        <v>880</v>
      </c>
      <c r="G62" s="47">
        <v>873</v>
      </c>
      <c r="H62" s="47">
        <v>864</v>
      </c>
      <c r="I62" s="47">
        <v>854</v>
      </c>
      <c r="J62" s="47">
        <v>842</v>
      </c>
      <c r="K62" s="47">
        <v>828</v>
      </c>
      <c r="L62" s="47">
        <v>813</v>
      </c>
      <c r="M62" s="47">
        <v>797</v>
      </c>
      <c r="N62" s="47">
        <v>780</v>
      </c>
      <c r="O62" s="47">
        <v>762</v>
      </c>
      <c r="P62" s="47">
        <v>744</v>
      </c>
      <c r="Q62" s="47">
        <v>724</v>
      </c>
      <c r="R62" s="47">
        <v>703</v>
      </c>
      <c r="S62" s="47">
        <v>683</v>
      </c>
      <c r="T62" s="47">
        <v>661</v>
      </c>
      <c r="U62" s="47">
        <v>639</v>
      </c>
      <c r="V62" s="47">
        <v>618</v>
      </c>
      <c r="W62" s="47">
        <v>595</v>
      </c>
      <c r="X62" s="47">
        <v>573</v>
      </c>
      <c r="Y62" s="47">
        <v>552</v>
      </c>
      <c r="Z62" s="47">
        <v>530</v>
      </c>
      <c r="AA62" s="47">
        <v>510</v>
      </c>
      <c r="AB62" s="47">
        <v>489</v>
      </c>
      <c r="AC62" s="47">
        <v>470</v>
      </c>
      <c r="AD62" s="47">
        <v>451</v>
      </c>
      <c r="AE62" s="47">
        <v>434</v>
      </c>
      <c r="AF62" s="47">
        <v>417</v>
      </c>
      <c r="AG62" s="47">
        <v>402</v>
      </c>
      <c r="AH62" s="47">
        <v>389</v>
      </c>
      <c r="AI62" s="47">
        <v>378</v>
      </c>
      <c r="AJ62" s="47">
        <v>371</v>
      </c>
      <c r="AK62" s="47">
        <v>366</v>
      </c>
      <c r="AL62" s="45"/>
      <c r="AM62" s="45"/>
      <c r="AN62" s="45"/>
    </row>
    <row r="63" spans="1:40" ht="15" x14ac:dyDescent="0.2">
      <c r="A63" s="64">
        <v>60</v>
      </c>
      <c r="B63" s="47">
        <v>889</v>
      </c>
      <c r="C63" s="47">
        <v>888</v>
      </c>
      <c r="D63" s="47">
        <v>886</v>
      </c>
      <c r="E63" s="47">
        <v>882</v>
      </c>
      <c r="F63" s="47">
        <v>876</v>
      </c>
      <c r="G63" s="47">
        <v>869</v>
      </c>
      <c r="H63" s="47">
        <v>860</v>
      </c>
      <c r="I63" s="47">
        <v>849</v>
      </c>
      <c r="J63" s="47">
        <v>837</v>
      </c>
      <c r="K63" s="47">
        <v>824</v>
      </c>
      <c r="L63" s="47">
        <v>809</v>
      </c>
      <c r="M63" s="47">
        <v>793</v>
      </c>
      <c r="N63" s="47">
        <v>776</v>
      </c>
      <c r="O63" s="47">
        <v>758</v>
      </c>
      <c r="P63" s="47">
        <v>739</v>
      </c>
      <c r="Q63" s="47">
        <v>719</v>
      </c>
      <c r="R63" s="47">
        <v>699</v>
      </c>
      <c r="S63" s="47">
        <v>678</v>
      </c>
      <c r="T63" s="47">
        <v>656</v>
      </c>
      <c r="U63" s="47">
        <v>634</v>
      </c>
      <c r="V63" s="47">
        <v>612</v>
      </c>
      <c r="W63" s="47">
        <v>590</v>
      </c>
      <c r="X63" s="47">
        <v>568</v>
      </c>
      <c r="Y63" s="47">
        <v>547</v>
      </c>
      <c r="Z63" s="47">
        <v>525</v>
      </c>
      <c r="AA63" s="47">
        <v>504</v>
      </c>
      <c r="AB63" s="47">
        <v>484</v>
      </c>
      <c r="AC63" s="47">
        <v>465</v>
      </c>
      <c r="AD63" s="47">
        <v>446</v>
      </c>
      <c r="AE63" s="47">
        <v>428</v>
      </c>
      <c r="AF63" s="47">
        <v>412</v>
      </c>
      <c r="AG63" s="47">
        <v>397</v>
      </c>
      <c r="AH63" s="47">
        <v>384</v>
      </c>
      <c r="AI63" s="47">
        <v>373</v>
      </c>
      <c r="AJ63" s="47">
        <v>365</v>
      </c>
      <c r="AK63" s="47">
        <v>361</v>
      </c>
      <c r="AL63" s="45"/>
      <c r="AM63" s="45"/>
      <c r="AN63" s="45"/>
    </row>
    <row r="64" spans="1:40" ht="15" x14ac:dyDescent="0.2">
      <c r="A64" s="64">
        <v>61</v>
      </c>
      <c r="B64" s="47">
        <v>884</v>
      </c>
      <c r="C64" s="47">
        <v>883</v>
      </c>
      <c r="D64" s="47">
        <v>881</v>
      </c>
      <c r="E64" s="47">
        <v>877</v>
      </c>
      <c r="F64" s="47">
        <v>871</v>
      </c>
      <c r="G64" s="47">
        <v>864</v>
      </c>
      <c r="H64" s="47">
        <v>855</v>
      </c>
      <c r="I64" s="47">
        <v>845</v>
      </c>
      <c r="J64" s="47">
        <v>833</v>
      </c>
      <c r="K64" s="47">
        <v>819</v>
      </c>
      <c r="L64" s="47">
        <v>804</v>
      </c>
      <c r="M64" s="47">
        <v>788</v>
      </c>
      <c r="N64" s="47">
        <v>771</v>
      </c>
      <c r="O64" s="47">
        <v>753</v>
      </c>
      <c r="P64" s="47">
        <v>734</v>
      </c>
      <c r="Q64" s="47">
        <v>714</v>
      </c>
      <c r="R64" s="47">
        <v>694</v>
      </c>
      <c r="S64" s="47">
        <v>673</v>
      </c>
      <c r="T64" s="47">
        <v>651</v>
      </c>
      <c r="U64" s="47">
        <v>629</v>
      </c>
      <c r="V64" s="47">
        <v>607</v>
      </c>
      <c r="W64" s="47">
        <v>585</v>
      </c>
      <c r="X64" s="47">
        <v>563</v>
      </c>
      <c r="Y64" s="47">
        <v>541</v>
      </c>
      <c r="Z64" s="47">
        <v>520</v>
      </c>
      <c r="AA64" s="47">
        <v>499</v>
      </c>
      <c r="AB64" s="47">
        <v>479</v>
      </c>
      <c r="AC64" s="47">
        <v>459</v>
      </c>
      <c r="AD64" s="47">
        <v>441</v>
      </c>
      <c r="AE64" s="47">
        <v>423</v>
      </c>
      <c r="AF64" s="47">
        <v>407</v>
      </c>
      <c r="AG64" s="47">
        <v>392</v>
      </c>
      <c r="AH64" s="47">
        <v>378</v>
      </c>
      <c r="AI64" s="47">
        <v>368</v>
      </c>
      <c r="AJ64" s="47">
        <v>360</v>
      </c>
      <c r="AK64" s="47">
        <v>355</v>
      </c>
      <c r="AL64" s="45"/>
      <c r="AM64" s="45"/>
      <c r="AN64" s="45"/>
    </row>
    <row r="65" spans="1:40" ht="15" x14ac:dyDescent="0.2">
      <c r="A65" s="64">
        <v>62</v>
      </c>
      <c r="B65" s="47">
        <v>879</v>
      </c>
      <c r="C65" s="47">
        <v>878</v>
      </c>
      <c r="D65" s="47">
        <v>876</v>
      </c>
      <c r="E65" s="47">
        <v>872</v>
      </c>
      <c r="F65" s="47">
        <v>866</v>
      </c>
      <c r="G65" s="47">
        <v>859</v>
      </c>
      <c r="H65" s="47">
        <v>850</v>
      </c>
      <c r="I65" s="47">
        <v>840</v>
      </c>
      <c r="J65" s="47">
        <v>828</v>
      </c>
      <c r="K65" s="47">
        <v>814</v>
      </c>
      <c r="L65" s="47">
        <v>799</v>
      </c>
      <c r="M65" s="47">
        <v>783</v>
      </c>
      <c r="N65" s="47">
        <v>766</v>
      </c>
      <c r="O65" s="47">
        <v>748</v>
      </c>
      <c r="P65" s="47">
        <v>729</v>
      </c>
      <c r="Q65" s="47">
        <v>709</v>
      </c>
      <c r="R65" s="47">
        <v>689</v>
      </c>
      <c r="S65" s="47">
        <v>668</v>
      </c>
      <c r="T65" s="47">
        <v>646</v>
      </c>
      <c r="U65" s="47">
        <v>624</v>
      </c>
      <c r="V65" s="47">
        <v>602</v>
      </c>
      <c r="W65" s="47">
        <v>580</v>
      </c>
      <c r="X65" s="47">
        <v>558</v>
      </c>
      <c r="Y65" s="47">
        <v>536</v>
      </c>
      <c r="Z65" s="47">
        <v>515</v>
      </c>
      <c r="AA65" s="47">
        <v>494</v>
      </c>
      <c r="AB65" s="47">
        <v>473</v>
      </c>
      <c r="AC65" s="47">
        <v>454</v>
      </c>
      <c r="AD65" s="47">
        <v>435</v>
      </c>
      <c r="AE65" s="47">
        <v>418</v>
      </c>
      <c r="AF65" s="47">
        <v>401</v>
      </c>
      <c r="AG65" s="47">
        <v>386</v>
      </c>
      <c r="AH65" s="47">
        <v>373</v>
      </c>
      <c r="AI65" s="47">
        <v>362</v>
      </c>
      <c r="AJ65" s="47">
        <v>355</v>
      </c>
      <c r="AK65" s="47">
        <v>350</v>
      </c>
      <c r="AL65" s="45"/>
      <c r="AM65" s="45"/>
      <c r="AN65" s="45"/>
    </row>
    <row r="66" spans="1:40" ht="15" x14ac:dyDescent="0.2">
      <c r="A66" s="64">
        <v>63</v>
      </c>
      <c r="B66" s="47">
        <v>874</v>
      </c>
      <c r="C66" s="47">
        <v>873</v>
      </c>
      <c r="D66" s="47">
        <v>871</v>
      </c>
      <c r="E66" s="47">
        <v>867</v>
      </c>
      <c r="F66" s="47">
        <v>861</v>
      </c>
      <c r="G66" s="47">
        <v>854</v>
      </c>
      <c r="H66" s="47">
        <v>845</v>
      </c>
      <c r="I66" s="47">
        <v>835</v>
      </c>
      <c r="J66" s="47">
        <v>823</v>
      </c>
      <c r="K66" s="47">
        <v>809</v>
      </c>
      <c r="L66" s="47">
        <v>794</v>
      </c>
      <c r="M66" s="47">
        <v>778</v>
      </c>
      <c r="N66" s="47">
        <v>761</v>
      </c>
      <c r="O66" s="47">
        <v>743</v>
      </c>
      <c r="P66" s="47">
        <v>724</v>
      </c>
      <c r="Q66" s="47">
        <v>704</v>
      </c>
      <c r="R66" s="47">
        <v>683</v>
      </c>
      <c r="S66" s="47">
        <v>662</v>
      </c>
      <c r="T66" s="47">
        <v>641</v>
      </c>
      <c r="U66" s="47">
        <v>619</v>
      </c>
      <c r="V66" s="47">
        <v>597</v>
      </c>
      <c r="W66" s="47">
        <v>575</v>
      </c>
      <c r="X66" s="47">
        <v>553</v>
      </c>
      <c r="Y66" s="47">
        <v>531</v>
      </c>
      <c r="Z66" s="47">
        <v>509</v>
      </c>
      <c r="AA66" s="47">
        <v>488</v>
      </c>
      <c r="AB66" s="47">
        <v>468</v>
      </c>
      <c r="AC66" s="47">
        <v>449</v>
      </c>
      <c r="AD66" s="47">
        <v>430</v>
      </c>
      <c r="AE66" s="47">
        <v>412</v>
      </c>
      <c r="AF66" s="47">
        <v>396</v>
      </c>
      <c r="AG66" s="47">
        <v>381</v>
      </c>
      <c r="AH66" s="47">
        <v>368</v>
      </c>
      <c r="AI66" s="47">
        <v>357</v>
      </c>
      <c r="AJ66" s="47">
        <v>349</v>
      </c>
      <c r="AK66" s="47">
        <v>345</v>
      </c>
      <c r="AL66" s="45"/>
      <c r="AM66" s="45"/>
      <c r="AN66" s="45"/>
    </row>
    <row r="67" spans="1:40" ht="15" x14ac:dyDescent="0.2">
      <c r="A67" s="64">
        <v>64</v>
      </c>
      <c r="B67" s="47">
        <v>869</v>
      </c>
      <c r="C67" s="47">
        <v>868</v>
      </c>
      <c r="D67" s="47">
        <v>866</v>
      </c>
      <c r="E67" s="47">
        <v>862</v>
      </c>
      <c r="F67" s="47">
        <v>856</v>
      </c>
      <c r="G67" s="47">
        <v>849</v>
      </c>
      <c r="H67" s="47">
        <v>840</v>
      </c>
      <c r="I67" s="47">
        <v>829</v>
      </c>
      <c r="J67" s="47">
        <v>817</v>
      </c>
      <c r="K67" s="47">
        <v>804</v>
      </c>
      <c r="L67" s="47">
        <v>789</v>
      </c>
      <c r="M67" s="47">
        <v>773</v>
      </c>
      <c r="N67" s="47">
        <v>756</v>
      </c>
      <c r="O67" s="47">
        <v>738</v>
      </c>
      <c r="P67" s="47">
        <v>718</v>
      </c>
      <c r="Q67" s="47">
        <v>699</v>
      </c>
      <c r="R67" s="47">
        <v>678</v>
      </c>
      <c r="S67" s="47">
        <v>657</v>
      </c>
      <c r="T67" s="47">
        <v>635</v>
      </c>
      <c r="U67" s="47">
        <v>614</v>
      </c>
      <c r="V67" s="47">
        <v>591</v>
      </c>
      <c r="W67" s="47">
        <v>569</v>
      </c>
      <c r="X67" s="47">
        <v>547</v>
      </c>
      <c r="Y67" s="47">
        <v>525</v>
      </c>
      <c r="Z67" s="47">
        <v>504</v>
      </c>
      <c r="AA67" s="47">
        <v>483</v>
      </c>
      <c r="AB67" s="47">
        <v>463</v>
      </c>
      <c r="AC67" s="47">
        <v>443</v>
      </c>
      <c r="AD67" s="47">
        <v>425</v>
      </c>
      <c r="AE67" s="47">
        <v>407</v>
      </c>
      <c r="AF67" s="47">
        <v>391</v>
      </c>
      <c r="AG67" s="47">
        <v>376</v>
      </c>
      <c r="AH67" s="47">
        <v>363</v>
      </c>
      <c r="AI67" s="47">
        <v>352</v>
      </c>
      <c r="AJ67" s="47">
        <v>344</v>
      </c>
      <c r="AK67" s="47">
        <v>340</v>
      </c>
      <c r="AL67" s="45"/>
      <c r="AM67" s="45"/>
      <c r="AN67" s="45"/>
    </row>
    <row r="68" spans="1:40" ht="15" x14ac:dyDescent="0.2">
      <c r="A68" s="64">
        <v>65</v>
      </c>
      <c r="B68" s="47">
        <v>864</v>
      </c>
      <c r="C68" s="47">
        <v>863</v>
      </c>
      <c r="D68" s="47">
        <v>860</v>
      </c>
      <c r="E68" s="47">
        <v>856</v>
      </c>
      <c r="F68" s="47">
        <v>851</v>
      </c>
      <c r="G68" s="47">
        <v>843</v>
      </c>
      <c r="H68" s="47">
        <v>835</v>
      </c>
      <c r="I68" s="47">
        <v>824</v>
      </c>
      <c r="J68" s="47">
        <v>812</v>
      </c>
      <c r="K68" s="47">
        <v>798</v>
      </c>
      <c r="L68" s="47">
        <v>783</v>
      </c>
      <c r="M68" s="47">
        <v>767</v>
      </c>
      <c r="N68" s="47">
        <v>750</v>
      </c>
      <c r="O68" s="47">
        <v>732</v>
      </c>
      <c r="P68" s="47">
        <v>713</v>
      </c>
      <c r="Q68" s="47">
        <v>693</v>
      </c>
      <c r="R68" s="47">
        <v>673</v>
      </c>
      <c r="S68" s="47">
        <v>652</v>
      </c>
      <c r="T68" s="47">
        <v>630</v>
      </c>
      <c r="U68" s="47">
        <v>608</v>
      </c>
      <c r="V68" s="47">
        <v>586</v>
      </c>
      <c r="W68" s="47">
        <v>564</v>
      </c>
      <c r="X68" s="47">
        <v>542</v>
      </c>
      <c r="Y68" s="47">
        <v>520</v>
      </c>
      <c r="Z68" s="47">
        <v>499</v>
      </c>
      <c r="AA68" s="47">
        <v>477</v>
      </c>
      <c r="AB68" s="47">
        <v>457</v>
      </c>
      <c r="AC68" s="47">
        <v>438</v>
      </c>
      <c r="AD68" s="47">
        <v>420</v>
      </c>
      <c r="AE68" s="47">
        <v>402</v>
      </c>
      <c r="AF68" s="47">
        <v>386</v>
      </c>
      <c r="AG68" s="47">
        <v>371</v>
      </c>
      <c r="AH68" s="47">
        <v>358</v>
      </c>
      <c r="AI68" s="47">
        <v>347</v>
      </c>
      <c r="AJ68" s="47">
        <v>339</v>
      </c>
      <c r="AK68" s="47">
        <v>335</v>
      </c>
      <c r="AL68" s="45"/>
      <c r="AM68" s="45"/>
      <c r="AN68" s="45"/>
    </row>
    <row r="69" spans="1:40" ht="15" x14ac:dyDescent="0.2">
      <c r="A69" s="64">
        <v>66</v>
      </c>
      <c r="B69" s="47">
        <v>858</v>
      </c>
      <c r="C69" s="47">
        <v>857</v>
      </c>
      <c r="D69" s="47">
        <v>855</v>
      </c>
      <c r="E69" s="47">
        <v>851</v>
      </c>
      <c r="F69" s="47">
        <v>845</v>
      </c>
      <c r="G69" s="47">
        <v>838</v>
      </c>
      <c r="H69" s="47">
        <v>829</v>
      </c>
      <c r="I69" s="47">
        <v>819</v>
      </c>
      <c r="J69" s="47">
        <v>807</v>
      </c>
      <c r="K69" s="47">
        <v>793</v>
      </c>
      <c r="L69" s="47">
        <v>778</v>
      </c>
      <c r="M69" s="47">
        <v>762</v>
      </c>
      <c r="N69" s="47">
        <v>745</v>
      </c>
      <c r="O69" s="47">
        <v>727</v>
      </c>
      <c r="P69" s="47">
        <v>708</v>
      </c>
      <c r="Q69" s="47">
        <v>688</v>
      </c>
      <c r="R69" s="47">
        <v>667</v>
      </c>
      <c r="S69" s="47">
        <v>646</v>
      </c>
      <c r="T69" s="47">
        <v>624</v>
      </c>
      <c r="U69" s="47">
        <v>603</v>
      </c>
      <c r="V69" s="47">
        <v>580</v>
      </c>
      <c r="W69" s="47">
        <v>558</v>
      </c>
      <c r="X69" s="47">
        <v>536</v>
      </c>
      <c r="Y69" s="47">
        <v>514</v>
      </c>
      <c r="Z69" s="47">
        <v>493</v>
      </c>
      <c r="AA69" s="47">
        <v>472</v>
      </c>
      <c r="AB69" s="47">
        <v>452</v>
      </c>
      <c r="AC69" s="47">
        <v>433</v>
      </c>
      <c r="AD69" s="47">
        <v>414</v>
      </c>
      <c r="AE69" s="47">
        <v>397</v>
      </c>
      <c r="AF69" s="47">
        <v>381</v>
      </c>
      <c r="AG69" s="47">
        <v>366</v>
      </c>
      <c r="AH69" s="47">
        <v>353</v>
      </c>
      <c r="AI69" s="47">
        <v>342</v>
      </c>
      <c r="AJ69" s="47">
        <v>335</v>
      </c>
      <c r="AK69" s="47">
        <v>330</v>
      </c>
      <c r="AL69" s="45"/>
      <c r="AM69" s="45"/>
      <c r="AN69" s="45"/>
    </row>
    <row r="70" spans="1:40" ht="15" x14ac:dyDescent="0.2">
      <c r="A70" s="64">
        <v>67</v>
      </c>
      <c r="B70" s="47">
        <v>852</v>
      </c>
      <c r="C70" s="47">
        <v>851</v>
      </c>
      <c r="D70" s="47">
        <v>849</v>
      </c>
      <c r="E70" s="47">
        <v>845</v>
      </c>
      <c r="F70" s="47">
        <v>839</v>
      </c>
      <c r="G70" s="47">
        <v>832</v>
      </c>
      <c r="H70" s="47">
        <v>823</v>
      </c>
      <c r="I70" s="47">
        <v>813</v>
      </c>
      <c r="J70" s="47">
        <v>801</v>
      </c>
      <c r="K70" s="47">
        <v>787</v>
      </c>
      <c r="L70" s="47">
        <v>772</v>
      </c>
      <c r="M70" s="47">
        <v>756</v>
      </c>
      <c r="N70" s="47">
        <v>739</v>
      </c>
      <c r="O70" s="47">
        <v>721</v>
      </c>
      <c r="P70" s="47">
        <v>702</v>
      </c>
      <c r="Q70" s="47">
        <v>682</v>
      </c>
      <c r="R70" s="47">
        <v>661</v>
      </c>
      <c r="S70" s="47">
        <v>640</v>
      </c>
      <c r="T70" s="47">
        <v>619</v>
      </c>
      <c r="U70" s="47">
        <v>597</v>
      </c>
      <c r="V70" s="47">
        <v>575</v>
      </c>
      <c r="W70" s="47">
        <v>553</v>
      </c>
      <c r="X70" s="47">
        <v>531</v>
      </c>
      <c r="Y70" s="47">
        <v>509</v>
      </c>
      <c r="Z70" s="47">
        <v>487</v>
      </c>
      <c r="AA70" s="47">
        <v>467</v>
      </c>
      <c r="AB70" s="47">
        <v>447</v>
      </c>
      <c r="AC70" s="47">
        <v>427</v>
      </c>
      <c r="AD70" s="47">
        <v>409</v>
      </c>
      <c r="AE70" s="47">
        <v>391</v>
      </c>
      <c r="AF70" s="47">
        <v>375</v>
      </c>
      <c r="AG70" s="47">
        <v>361</v>
      </c>
      <c r="AH70" s="47">
        <v>348</v>
      </c>
      <c r="AI70" s="47">
        <v>337</v>
      </c>
      <c r="AJ70" s="47">
        <v>330</v>
      </c>
      <c r="AK70" s="47">
        <v>325</v>
      </c>
      <c r="AL70" s="45"/>
      <c r="AM70" s="45"/>
      <c r="AN70" s="45"/>
    </row>
    <row r="71" spans="1:40" ht="15" x14ac:dyDescent="0.2">
      <c r="A71" s="64">
        <v>68</v>
      </c>
      <c r="B71" s="47">
        <v>846</v>
      </c>
      <c r="C71" s="47">
        <v>845</v>
      </c>
      <c r="D71" s="47">
        <v>843</v>
      </c>
      <c r="E71" s="47">
        <v>839</v>
      </c>
      <c r="F71" s="47">
        <v>833</v>
      </c>
      <c r="G71" s="47">
        <v>826</v>
      </c>
      <c r="H71" s="47">
        <v>817</v>
      </c>
      <c r="I71" s="47">
        <v>807</v>
      </c>
      <c r="J71" s="47">
        <v>795</v>
      </c>
      <c r="K71" s="47">
        <v>781</v>
      </c>
      <c r="L71" s="47">
        <v>767</v>
      </c>
      <c r="M71" s="47">
        <v>751</v>
      </c>
      <c r="N71" s="47">
        <v>733</v>
      </c>
      <c r="O71" s="47">
        <v>715</v>
      </c>
      <c r="P71" s="47">
        <v>696</v>
      </c>
      <c r="Q71" s="47">
        <v>676</v>
      </c>
      <c r="R71" s="47">
        <v>656</v>
      </c>
      <c r="S71" s="47">
        <v>635</v>
      </c>
      <c r="T71" s="47">
        <v>613</v>
      </c>
      <c r="U71" s="47">
        <v>591</v>
      </c>
      <c r="V71" s="47">
        <v>569</v>
      </c>
      <c r="W71" s="47">
        <v>547</v>
      </c>
      <c r="X71" s="47">
        <v>525</v>
      </c>
      <c r="Y71" s="47">
        <v>503</v>
      </c>
      <c r="Z71" s="47">
        <v>482</v>
      </c>
      <c r="AA71" s="47">
        <v>461</v>
      </c>
      <c r="AB71" s="47">
        <v>441</v>
      </c>
      <c r="AC71" s="47">
        <v>422</v>
      </c>
      <c r="AD71" s="47">
        <v>404</v>
      </c>
      <c r="AE71" s="47">
        <v>386</v>
      </c>
      <c r="AF71" s="47">
        <v>370</v>
      </c>
      <c r="AG71" s="47">
        <v>356</v>
      </c>
      <c r="AH71" s="47">
        <v>343</v>
      </c>
      <c r="AI71" s="47">
        <v>333</v>
      </c>
      <c r="AJ71" s="47">
        <v>325</v>
      </c>
      <c r="AK71" s="47">
        <v>320</v>
      </c>
      <c r="AL71" s="45"/>
      <c r="AM71" s="45"/>
      <c r="AN71" s="45"/>
    </row>
    <row r="72" spans="1:40" ht="15" x14ac:dyDescent="0.2">
      <c r="A72" s="64">
        <v>69</v>
      </c>
      <c r="B72" s="47">
        <v>840</v>
      </c>
      <c r="C72" s="47">
        <v>839</v>
      </c>
      <c r="D72" s="47">
        <v>837</v>
      </c>
      <c r="E72" s="47">
        <v>833</v>
      </c>
      <c r="F72" s="47">
        <v>827</v>
      </c>
      <c r="G72" s="47">
        <v>820</v>
      </c>
      <c r="H72" s="47">
        <v>811</v>
      </c>
      <c r="I72" s="47">
        <v>801</v>
      </c>
      <c r="J72" s="47">
        <v>789</v>
      </c>
      <c r="K72" s="47">
        <v>775</v>
      </c>
      <c r="L72" s="47">
        <v>760</v>
      </c>
      <c r="M72" s="47">
        <v>744</v>
      </c>
      <c r="N72" s="47">
        <v>728</v>
      </c>
      <c r="O72" s="47">
        <v>709</v>
      </c>
      <c r="P72" s="47">
        <v>690</v>
      </c>
      <c r="Q72" s="47">
        <v>670</v>
      </c>
      <c r="R72" s="47">
        <v>650</v>
      </c>
      <c r="S72" s="47">
        <v>629</v>
      </c>
      <c r="T72" s="47">
        <v>607</v>
      </c>
      <c r="U72" s="47">
        <v>586</v>
      </c>
      <c r="V72" s="47">
        <v>564</v>
      </c>
      <c r="W72" s="47">
        <v>541</v>
      </c>
      <c r="X72" s="47">
        <v>519</v>
      </c>
      <c r="Y72" s="47">
        <v>498</v>
      </c>
      <c r="Z72" s="47">
        <v>477</v>
      </c>
      <c r="AA72" s="47">
        <v>456</v>
      </c>
      <c r="AB72" s="47">
        <v>436</v>
      </c>
      <c r="AC72" s="47">
        <v>417</v>
      </c>
      <c r="AD72" s="47">
        <v>398</v>
      </c>
      <c r="AE72" s="47">
        <v>381</v>
      </c>
      <c r="AF72" s="47">
        <v>365</v>
      </c>
      <c r="AG72" s="47">
        <v>351</v>
      </c>
      <c r="AH72" s="47">
        <v>338</v>
      </c>
      <c r="AI72" s="47">
        <v>328</v>
      </c>
      <c r="AJ72" s="47">
        <v>320</v>
      </c>
      <c r="AK72" s="47">
        <v>315</v>
      </c>
      <c r="AL72" s="45"/>
      <c r="AM72" s="45"/>
      <c r="AN72" s="45"/>
    </row>
    <row r="73" spans="1:40" ht="15" x14ac:dyDescent="0.2">
      <c r="A73" s="64">
        <v>70</v>
      </c>
      <c r="B73" s="47">
        <v>833</v>
      </c>
      <c r="C73" s="47">
        <v>833</v>
      </c>
      <c r="D73" s="47">
        <v>830</v>
      </c>
      <c r="E73" s="47">
        <v>826</v>
      </c>
      <c r="F73" s="47">
        <v>821</v>
      </c>
      <c r="G73" s="47">
        <v>814</v>
      </c>
      <c r="H73" s="47">
        <v>805</v>
      </c>
      <c r="I73" s="47">
        <v>795</v>
      </c>
      <c r="J73" s="47">
        <v>783</v>
      </c>
      <c r="K73" s="47">
        <v>769</v>
      </c>
      <c r="L73" s="47">
        <v>754</v>
      </c>
      <c r="M73" s="47">
        <v>738</v>
      </c>
      <c r="N73" s="47">
        <v>721</v>
      </c>
      <c r="O73" s="47">
        <v>703</v>
      </c>
      <c r="P73" s="47">
        <v>684</v>
      </c>
      <c r="Q73" s="47">
        <v>664</v>
      </c>
      <c r="R73" s="47">
        <v>644</v>
      </c>
      <c r="S73" s="47">
        <v>623</v>
      </c>
      <c r="T73" s="47">
        <v>602</v>
      </c>
      <c r="U73" s="47">
        <v>580</v>
      </c>
      <c r="V73" s="47">
        <v>558</v>
      </c>
      <c r="W73" s="47">
        <v>536</v>
      </c>
      <c r="X73" s="47">
        <v>514</v>
      </c>
      <c r="Y73" s="47">
        <v>492</v>
      </c>
      <c r="Z73" s="47">
        <v>471</v>
      </c>
      <c r="AA73" s="47">
        <v>450</v>
      </c>
      <c r="AB73" s="47">
        <v>431</v>
      </c>
      <c r="AC73" s="47">
        <v>411</v>
      </c>
      <c r="AD73" s="47">
        <v>393</v>
      </c>
      <c r="AE73" s="47">
        <v>376</v>
      </c>
      <c r="AF73" s="47">
        <v>360</v>
      </c>
      <c r="AG73" s="47">
        <v>346</v>
      </c>
      <c r="AH73" s="47">
        <v>333</v>
      </c>
      <c r="AI73" s="47">
        <v>323</v>
      </c>
      <c r="AJ73" s="47">
        <v>315</v>
      </c>
      <c r="AK73" s="47">
        <v>310</v>
      </c>
      <c r="AL73" s="45"/>
      <c r="AM73" s="45"/>
      <c r="AN73" s="45"/>
    </row>
    <row r="74" spans="1:40" ht="15" x14ac:dyDescent="0.2">
      <c r="A74" s="64">
        <v>71</v>
      </c>
      <c r="B74" s="47">
        <v>827</v>
      </c>
      <c r="C74" s="47">
        <v>826</v>
      </c>
      <c r="D74" s="47">
        <v>824</v>
      </c>
      <c r="E74" s="47">
        <v>820</v>
      </c>
      <c r="F74" s="47">
        <v>814</v>
      </c>
      <c r="G74" s="47">
        <v>807</v>
      </c>
      <c r="H74" s="47">
        <v>799</v>
      </c>
      <c r="I74" s="47">
        <v>788</v>
      </c>
      <c r="J74" s="47">
        <v>776</v>
      </c>
      <c r="K74" s="47">
        <v>763</v>
      </c>
      <c r="L74" s="47">
        <v>748</v>
      </c>
      <c r="M74" s="47">
        <v>732</v>
      </c>
      <c r="N74" s="47">
        <v>715</v>
      </c>
      <c r="O74" s="47">
        <v>697</v>
      </c>
      <c r="P74" s="47">
        <v>678</v>
      </c>
      <c r="Q74" s="47">
        <v>658</v>
      </c>
      <c r="R74" s="47">
        <v>638</v>
      </c>
      <c r="S74" s="47">
        <v>617</v>
      </c>
      <c r="T74" s="47">
        <v>596</v>
      </c>
      <c r="U74" s="47">
        <v>574</v>
      </c>
      <c r="V74" s="47">
        <v>552</v>
      </c>
      <c r="W74" s="47">
        <v>530</v>
      </c>
      <c r="X74" s="47">
        <v>508</v>
      </c>
      <c r="Y74" s="47">
        <v>486</v>
      </c>
      <c r="Z74" s="47">
        <v>465</v>
      </c>
      <c r="AA74" s="47">
        <v>444</v>
      </c>
      <c r="AB74" s="47">
        <v>425</v>
      </c>
      <c r="AC74" s="47">
        <v>406</v>
      </c>
      <c r="AD74" s="47">
        <v>388</v>
      </c>
      <c r="AE74" s="47">
        <v>371</v>
      </c>
      <c r="AF74" s="47">
        <v>355</v>
      </c>
      <c r="AG74" s="47">
        <v>341</v>
      </c>
      <c r="AH74" s="47">
        <v>329</v>
      </c>
      <c r="AI74" s="47">
        <v>318</v>
      </c>
      <c r="AJ74" s="47">
        <v>311</v>
      </c>
      <c r="AK74" s="47">
        <v>306</v>
      </c>
      <c r="AL74" s="45"/>
      <c r="AM74" s="45"/>
      <c r="AN74" s="45"/>
    </row>
    <row r="75" spans="1:40" ht="15" x14ac:dyDescent="0.2">
      <c r="A75" s="64">
        <v>72</v>
      </c>
      <c r="B75" s="47">
        <v>820</v>
      </c>
      <c r="C75" s="47">
        <v>819</v>
      </c>
      <c r="D75" s="47">
        <v>817</v>
      </c>
      <c r="E75" s="47">
        <v>813</v>
      </c>
      <c r="F75" s="47">
        <v>808</v>
      </c>
      <c r="G75" s="47">
        <v>801</v>
      </c>
      <c r="H75" s="47">
        <v>792</v>
      </c>
      <c r="I75" s="47">
        <v>782</v>
      </c>
      <c r="J75" s="47">
        <v>770</v>
      </c>
      <c r="K75" s="47">
        <v>756</v>
      </c>
      <c r="L75" s="47">
        <v>742</v>
      </c>
      <c r="M75" s="47">
        <v>726</v>
      </c>
      <c r="N75" s="47">
        <v>709</v>
      </c>
      <c r="O75" s="47">
        <v>691</v>
      </c>
      <c r="P75" s="47">
        <v>672</v>
      </c>
      <c r="Q75" s="47">
        <v>652</v>
      </c>
      <c r="R75" s="47">
        <v>632</v>
      </c>
      <c r="S75" s="47">
        <v>611</v>
      </c>
      <c r="T75" s="47">
        <v>590</v>
      </c>
      <c r="U75" s="47">
        <v>568</v>
      </c>
      <c r="V75" s="47">
        <v>546</v>
      </c>
      <c r="W75" s="47">
        <v>524</v>
      </c>
      <c r="X75" s="47">
        <v>502</v>
      </c>
      <c r="Y75" s="47">
        <v>481</v>
      </c>
      <c r="Z75" s="47">
        <v>460</v>
      </c>
      <c r="AA75" s="47">
        <v>439</v>
      </c>
      <c r="AB75" s="47">
        <v>419</v>
      </c>
      <c r="AC75" s="47">
        <v>400</v>
      </c>
      <c r="AD75" s="47">
        <v>383</v>
      </c>
      <c r="AE75" s="47">
        <v>366</v>
      </c>
      <c r="AF75" s="47">
        <v>350</v>
      </c>
      <c r="AG75" s="47">
        <v>336</v>
      </c>
      <c r="AH75" s="47">
        <v>323</v>
      </c>
      <c r="AI75" s="47">
        <v>314</v>
      </c>
      <c r="AJ75" s="47">
        <v>306</v>
      </c>
      <c r="AK75" s="47">
        <v>301</v>
      </c>
      <c r="AL75" s="45"/>
      <c r="AM75" s="45"/>
      <c r="AN75" s="45"/>
    </row>
    <row r="76" spans="1:40" ht="15" x14ac:dyDescent="0.2">
      <c r="A76" s="64">
        <v>73</v>
      </c>
      <c r="B76" s="47">
        <v>813</v>
      </c>
      <c r="C76" s="47">
        <v>812</v>
      </c>
      <c r="D76" s="47">
        <v>810</v>
      </c>
      <c r="E76" s="47">
        <v>806</v>
      </c>
      <c r="F76" s="47">
        <v>801</v>
      </c>
      <c r="G76" s="47">
        <v>794</v>
      </c>
      <c r="H76" s="47">
        <v>785</v>
      </c>
      <c r="I76" s="47">
        <v>775</v>
      </c>
      <c r="J76" s="47">
        <v>763</v>
      </c>
      <c r="K76" s="47">
        <v>750</v>
      </c>
      <c r="L76" s="47">
        <v>735</v>
      </c>
      <c r="M76" s="47">
        <v>719</v>
      </c>
      <c r="N76" s="47">
        <v>702</v>
      </c>
      <c r="O76" s="47">
        <v>684</v>
      </c>
      <c r="P76" s="47">
        <v>665</v>
      </c>
      <c r="Q76" s="47">
        <v>646</v>
      </c>
      <c r="R76" s="47">
        <v>626</v>
      </c>
      <c r="S76" s="47">
        <v>605</v>
      </c>
      <c r="T76" s="47">
        <v>583</v>
      </c>
      <c r="U76" s="47">
        <v>562</v>
      </c>
      <c r="V76" s="47">
        <v>540</v>
      </c>
      <c r="W76" s="47">
        <v>518</v>
      </c>
      <c r="X76" s="47">
        <v>496</v>
      </c>
      <c r="Y76" s="47">
        <v>475</v>
      </c>
      <c r="Z76" s="47">
        <v>454</v>
      </c>
      <c r="AA76" s="47">
        <v>434</v>
      </c>
      <c r="AB76" s="47">
        <v>414</v>
      </c>
      <c r="AC76" s="47">
        <v>395</v>
      </c>
      <c r="AD76" s="47">
        <v>377</v>
      </c>
      <c r="AE76" s="47">
        <v>360</v>
      </c>
      <c r="AF76" s="47">
        <v>345</v>
      </c>
      <c r="AG76" s="47">
        <v>331</v>
      </c>
      <c r="AH76" s="47">
        <v>319</v>
      </c>
      <c r="AI76" s="47">
        <v>309</v>
      </c>
      <c r="AJ76" s="47">
        <v>301</v>
      </c>
      <c r="AK76" s="47">
        <v>297</v>
      </c>
      <c r="AL76" s="45"/>
      <c r="AM76" s="45"/>
      <c r="AN76" s="45"/>
    </row>
    <row r="77" spans="1:40" ht="15" x14ac:dyDescent="0.2">
      <c r="A77" s="64">
        <v>74</v>
      </c>
      <c r="B77" s="47">
        <v>806</v>
      </c>
      <c r="C77" s="47">
        <v>805</v>
      </c>
      <c r="D77" s="47">
        <v>803</v>
      </c>
      <c r="E77" s="47">
        <v>799</v>
      </c>
      <c r="F77" s="47">
        <v>794</v>
      </c>
      <c r="G77" s="47">
        <v>787</v>
      </c>
      <c r="H77" s="47">
        <v>778</v>
      </c>
      <c r="I77" s="47">
        <v>768</v>
      </c>
      <c r="J77" s="47">
        <v>756</v>
      </c>
      <c r="K77" s="47">
        <v>743</v>
      </c>
      <c r="L77" s="47">
        <v>728</v>
      </c>
      <c r="M77" s="47">
        <v>712</v>
      </c>
      <c r="N77" s="47">
        <v>696</v>
      </c>
      <c r="O77" s="47">
        <v>678</v>
      </c>
      <c r="P77" s="47">
        <v>659</v>
      </c>
      <c r="Q77" s="47">
        <v>639</v>
      </c>
      <c r="R77" s="47">
        <v>619</v>
      </c>
      <c r="S77" s="47">
        <v>599</v>
      </c>
      <c r="T77" s="47">
        <v>577</v>
      </c>
      <c r="U77" s="47">
        <v>556</v>
      </c>
      <c r="V77" s="47">
        <v>534</v>
      </c>
      <c r="W77" s="47">
        <v>512</v>
      </c>
      <c r="X77" s="47">
        <v>491</v>
      </c>
      <c r="Y77" s="47">
        <v>469</v>
      </c>
      <c r="Z77" s="47">
        <v>448</v>
      </c>
      <c r="AA77" s="47">
        <v>428</v>
      </c>
      <c r="AB77" s="47">
        <v>408</v>
      </c>
      <c r="AC77" s="47">
        <v>390</v>
      </c>
      <c r="AD77" s="47">
        <v>372</v>
      </c>
      <c r="AE77" s="47">
        <v>355</v>
      </c>
      <c r="AF77" s="47">
        <v>340</v>
      </c>
      <c r="AG77" s="47">
        <v>326</v>
      </c>
      <c r="AH77" s="47">
        <v>314</v>
      </c>
      <c r="AI77" s="47">
        <v>304</v>
      </c>
      <c r="AJ77" s="47">
        <v>296</v>
      </c>
      <c r="AK77" s="47">
        <v>292</v>
      </c>
      <c r="AL77" s="45"/>
      <c r="AM77" s="45"/>
      <c r="AN77" s="45"/>
    </row>
    <row r="78" spans="1:40" ht="15" x14ac:dyDescent="0.2">
      <c r="A78" s="64">
        <v>75</v>
      </c>
      <c r="B78" s="47">
        <v>798</v>
      </c>
      <c r="C78" s="47">
        <v>798</v>
      </c>
      <c r="D78" s="47">
        <v>795</v>
      </c>
      <c r="E78" s="47">
        <v>792</v>
      </c>
      <c r="F78" s="47">
        <v>786</v>
      </c>
      <c r="G78" s="47">
        <v>779</v>
      </c>
      <c r="H78" s="47">
        <v>771</v>
      </c>
      <c r="I78" s="47">
        <v>761</v>
      </c>
      <c r="J78" s="47">
        <v>749</v>
      </c>
      <c r="K78" s="47">
        <v>736</v>
      </c>
      <c r="L78" s="47">
        <v>721</v>
      </c>
      <c r="M78" s="47">
        <v>706</v>
      </c>
      <c r="N78" s="47">
        <v>689</v>
      </c>
      <c r="O78" s="47">
        <v>671</v>
      </c>
      <c r="P78" s="47">
        <v>653</v>
      </c>
      <c r="Q78" s="47">
        <v>633</v>
      </c>
      <c r="R78" s="47">
        <v>613</v>
      </c>
      <c r="S78" s="47">
        <v>592</v>
      </c>
      <c r="T78" s="47">
        <v>571</v>
      </c>
      <c r="U78" s="47">
        <v>550</v>
      </c>
      <c r="V78" s="47">
        <v>528</v>
      </c>
      <c r="W78" s="47">
        <v>506</v>
      </c>
      <c r="X78" s="47">
        <v>485</v>
      </c>
      <c r="Y78" s="47">
        <v>463</v>
      </c>
      <c r="Z78" s="47">
        <v>442</v>
      </c>
      <c r="AA78" s="47">
        <v>422</v>
      </c>
      <c r="AB78" s="47">
        <v>403</v>
      </c>
      <c r="AC78" s="47">
        <v>384</v>
      </c>
      <c r="AD78" s="47">
        <v>367</v>
      </c>
      <c r="AE78" s="47">
        <v>350</v>
      </c>
      <c r="AF78" s="47">
        <v>335</v>
      </c>
      <c r="AG78" s="47">
        <v>321</v>
      </c>
      <c r="AH78" s="47">
        <v>309</v>
      </c>
      <c r="AI78" s="47">
        <v>299</v>
      </c>
      <c r="AJ78" s="47">
        <v>292</v>
      </c>
      <c r="AK78" s="47">
        <v>288</v>
      </c>
      <c r="AL78" s="45"/>
      <c r="AM78" s="45"/>
      <c r="AN78" s="45"/>
    </row>
    <row r="79" spans="1:40" ht="15" x14ac:dyDescent="0.2">
      <c r="A79" s="64">
        <v>76</v>
      </c>
      <c r="B79" s="47">
        <v>791</v>
      </c>
      <c r="C79" s="47">
        <v>790</v>
      </c>
      <c r="D79" s="47">
        <v>788</v>
      </c>
      <c r="E79" s="47">
        <v>784</v>
      </c>
      <c r="F79" s="47">
        <v>779</v>
      </c>
      <c r="G79" s="47">
        <v>772</v>
      </c>
      <c r="H79" s="47">
        <v>764</v>
      </c>
      <c r="I79" s="47">
        <v>754</v>
      </c>
      <c r="J79" s="47">
        <v>742</v>
      </c>
      <c r="K79" s="47">
        <v>729</v>
      </c>
      <c r="L79" s="47">
        <v>714</v>
      </c>
      <c r="M79" s="47">
        <v>699</v>
      </c>
      <c r="N79" s="47">
        <v>682</v>
      </c>
      <c r="O79" s="47">
        <v>664</v>
      </c>
      <c r="P79" s="47">
        <v>645</v>
      </c>
      <c r="Q79" s="47">
        <v>627</v>
      </c>
      <c r="R79" s="47">
        <v>606</v>
      </c>
      <c r="S79" s="47">
        <v>586</v>
      </c>
      <c r="T79" s="47">
        <v>565</v>
      </c>
      <c r="U79" s="47">
        <v>543</v>
      </c>
      <c r="V79" s="47">
        <v>522</v>
      </c>
      <c r="W79" s="47">
        <v>500</v>
      </c>
      <c r="X79" s="47">
        <v>479</v>
      </c>
      <c r="Y79" s="47">
        <v>458</v>
      </c>
      <c r="Z79" s="47">
        <v>437</v>
      </c>
      <c r="AA79" s="47">
        <v>417</v>
      </c>
      <c r="AB79" s="47">
        <v>397</v>
      </c>
      <c r="AC79" s="47">
        <v>379</v>
      </c>
      <c r="AD79" s="47">
        <v>362</v>
      </c>
      <c r="AE79" s="47">
        <v>345</v>
      </c>
      <c r="AF79" s="47">
        <v>330</v>
      </c>
      <c r="AG79" s="47">
        <v>316</v>
      </c>
      <c r="AH79" s="47">
        <v>304</v>
      </c>
      <c r="AI79" s="47">
        <v>294</v>
      </c>
      <c r="AJ79" s="47">
        <v>287</v>
      </c>
      <c r="AK79" s="47">
        <v>283</v>
      </c>
      <c r="AL79" s="45"/>
      <c r="AM79" s="45"/>
      <c r="AN79" s="45"/>
    </row>
    <row r="80" spans="1:40" ht="15" x14ac:dyDescent="0.2">
      <c r="A80" s="64">
        <v>77</v>
      </c>
      <c r="B80" s="47">
        <v>783</v>
      </c>
      <c r="C80" s="47">
        <v>782</v>
      </c>
      <c r="D80" s="47">
        <v>780</v>
      </c>
      <c r="E80" s="47">
        <v>777</v>
      </c>
      <c r="F80" s="47">
        <v>771</v>
      </c>
      <c r="G80" s="47">
        <v>765</v>
      </c>
      <c r="H80" s="47">
        <v>756</v>
      </c>
      <c r="I80" s="47">
        <v>746</v>
      </c>
      <c r="J80" s="47">
        <v>734</v>
      </c>
      <c r="K80" s="47">
        <v>722</v>
      </c>
      <c r="L80" s="47">
        <v>707</v>
      </c>
      <c r="M80" s="47">
        <v>692</v>
      </c>
      <c r="N80" s="47">
        <v>675</v>
      </c>
      <c r="O80" s="47">
        <v>657</v>
      </c>
      <c r="P80" s="47">
        <v>639</v>
      </c>
      <c r="Q80" s="47">
        <v>619</v>
      </c>
      <c r="R80" s="47">
        <v>600</v>
      </c>
      <c r="S80" s="47">
        <v>579</v>
      </c>
      <c r="T80" s="47">
        <v>558</v>
      </c>
      <c r="U80" s="47">
        <v>537</v>
      </c>
      <c r="V80" s="47">
        <v>516</v>
      </c>
      <c r="W80" s="47">
        <v>494</v>
      </c>
      <c r="X80" s="47">
        <v>473</v>
      </c>
      <c r="Y80" s="47">
        <v>452</v>
      </c>
      <c r="Z80" s="47">
        <v>431</v>
      </c>
      <c r="AA80" s="47">
        <v>411</v>
      </c>
      <c r="AB80" s="47">
        <v>392</v>
      </c>
      <c r="AC80" s="47">
        <v>374</v>
      </c>
      <c r="AD80" s="47">
        <v>356</v>
      </c>
      <c r="AE80" s="47">
        <v>340</v>
      </c>
      <c r="AF80" s="47">
        <v>325</v>
      </c>
      <c r="AG80" s="47">
        <v>311</v>
      </c>
      <c r="AH80" s="47">
        <v>300</v>
      </c>
      <c r="AI80" s="47">
        <v>290</v>
      </c>
      <c r="AJ80" s="47">
        <v>283</v>
      </c>
      <c r="AK80" s="47">
        <v>278</v>
      </c>
      <c r="AL80" s="45"/>
      <c r="AM80" s="45"/>
      <c r="AN80" s="45"/>
    </row>
    <row r="81" spans="1:40" ht="15" x14ac:dyDescent="0.2">
      <c r="A81" s="64">
        <v>78</v>
      </c>
      <c r="B81" s="47">
        <v>775</v>
      </c>
      <c r="C81" s="47">
        <v>774</v>
      </c>
      <c r="D81" s="47">
        <v>772</v>
      </c>
      <c r="E81" s="47">
        <v>769</v>
      </c>
      <c r="F81" s="47">
        <v>763</v>
      </c>
      <c r="G81" s="47">
        <v>757</v>
      </c>
      <c r="H81" s="47">
        <v>748</v>
      </c>
      <c r="I81" s="47">
        <v>738</v>
      </c>
      <c r="J81" s="47">
        <v>727</v>
      </c>
      <c r="K81" s="47">
        <v>714</v>
      </c>
      <c r="L81" s="47">
        <v>700</v>
      </c>
      <c r="M81" s="47">
        <v>685</v>
      </c>
      <c r="N81" s="47">
        <v>668</v>
      </c>
      <c r="O81" s="47">
        <v>651</v>
      </c>
      <c r="P81" s="47">
        <v>632</v>
      </c>
      <c r="Q81" s="47">
        <v>613</v>
      </c>
      <c r="R81" s="47">
        <v>593</v>
      </c>
      <c r="S81" s="47">
        <v>573</v>
      </c>
      <c r="T81" s="47">
        <v>552</v>
      </c>
      <c r="U81" s="47">
        <v>531</v>
      </c>
      <c r="V81" s="47">
        <v>510</v>
      </c>
      <c r="W81" s="47">
        <v>488</v>
      </c>
      <c r="X81" s="47">
        <v>467</v>
      </c>
      <c r="Y81" s="47">
        <v>446</v>
      </c>
      <c r="Z81" s="47">
        <v>425</v>
      </c>
      <c r="AA81" s="47">
        <v>405</v>
      </c>
      <c r="AB81" s="47">
        <v>386</v>
      </c>
      <c r="AC81" s="47">
        <v>368</v>
      </c>
      <c r="AD81" s="47">
        <v>351</v>
      </c>
      <c r="AE81" s="47">
        <v>335</v>
      </c>
      <c r="AF81" s="47">
        <v>320</v>
      </c>
      <c r="AG81" s="47">
        <v>307</v>
      </c>
      <c r="AH81" s="47">
        <v>295</v>
      </c>
      <c r="AI81" s="47">
        <v>286</v>
      </c>
      <c r="AJ81" s="47">
        <v>278</v>
      </c>
      <c r="AK81" s="47">
        <v>274</v>
      </c>
      <c r="AL81" s="45"/>
      <c r="AM81" s="45"/>
      <c r="AN81" s="45"/>
    </row>
    <row r="82" spans="1:40" ht="15" x14ac:dyDescent="0.2">
      <c r="A82" s="64">
        <v>79</v>
      </c>
      <c r="B82" s="47">
        <v>767</v>
      </c>
      <c r="C82" s="47">
        <v>766</v>
      </c>
      <c r="D82" s="47">
        <v>764</v>
      </c>
      <c r="E82" s="47">
        <v>761</v>
      </c>
      <c r="F82" s="47">
        <v>756</v>
      </c>
      <c r="G82" s="47">
        <v>749</v>
      </c>
      <c r="H82" s="47">
        <v>741</v>
      </c>
      <c r="I82" s="47">
        <v>731</v>
      </c>
      <c r="J82" s="47">
        <v>720</v>
      </c>
      <c r="K82" s="47">
        <v>707</v>
      </c>
      <c r="L82" s="47">
        <v>693</v>
      </c>
      <c r="M82" s="47">
        <v>677</v>
      </c>
      <c r="N82" s="47">
        <v>661</v>
      </c>
      <c r="O82" s="47">
        <v>643</v>
      </c>
      <c r="P82" s="47">
        <v>625</v>
      </c>
      <c r="Q82" s="47">
        <v>606</v>
      </c>
      <c r="R82" s="47">
        <v>586</v>
      </c>
      <c r="S82" s="47">
        <v>566</v>
      </c>
      <c r="T82" s="47">
        <v>545</v>
      </c>
      <c r="U82" s="47">
        <v>524</v>
      </c>
      <c r="V82" s="47">
        <v>503</v>
      </c>
      <c r="W82" s="47">
        <v>482</v>
      </c>
      <c r="X82" s="47">
        <v>461</v>
      </c>
      <c r="Y82" s="47">
        <v>440</v>
      </c>
      <c r="Z82" s="47">
        <v>420</v>
      </c>
      <c r="AA82" s="47">
        <v>400</v>
      </c>
      <c r="AB82" s="47">
        <v>381</v>
      </c>
      <c r="AC82" s="47">
        <v>363</v>
      </c>
      <c r="AD82" s="47">
        <v>346</v>
      </c>
      <c r="AE82" s="47">
        <v>330</v>
      </c>
      <c r="AF82" s="47">
        <v>315</v>
      </c>
      <c r="AG82" s="47">
        <v>302</v>
      </c>
      <c r="AH82" s="47">
        <v>290</v>
      </c>
      <c r="AI82" s="47">
        <v>281</v>
      </c>
      <c r="AJ82" s="47">
        <v>274</v>
      </c>
      <c r="AK82" s="47">
        <v>270</v>
      </c>
      <c r="AL82" s="45"/>
      <c r="AM82" s="45"/>
      <c r="AN82" s="45"/>
    </row>
    <row r="83" spans="1:40" ht="15" x14ac:dyDescent="0.2">
      <c r="A83" s="64">
        <v>80</v>
      </c>
      <c r="B83" s="47">
        <v>759</v>
      </c>
      <c r="C83" s="47">
        <v>758</v>
      </c>
      <c r="D83" s="47">
        <v>756</v>
      </c>
      <c r="E83" s="47">
        <v>752</v>
      </c>
      <c r="F83" s="47">
        <v>747</v>
      </c>
      <c r="G83" s="47">
        <v>741</v>
      </c>
      <c r="H83" s="47">
        <v>733</v>
      </c>
      <c r="I83" s="47">
        <v>723</v>
      </c>
      <c r="J83" s="47">
        <v>712</v>
      </c>
      <c r="K83" s="47">
        <v>699</v>
      </c>
      <c r="L83" s="47">
        <v>685</v>
      </c>
      <c r="M83" s="47">
        <v>670</v>
      </c>
      <c r="N83" s="47">
        <v>653</v>
      </c>
      <c r="O83" s="47">
        <v>636</v>
      </c>
      <c r="P83" s="47">
        <v>618</v>
      </c>
      <c r="Q83" s="47">
        <v>600</v>
      </c>
      <c r="R83" s="47">
        <v>580</v>
      </c>
      <c r="S83" s="47">
        <v>559</v>
      </c>
      <c r="T83" s="47">
        <v>539</v>
      </c>
      <c r="U83" s="47">
        <v>518</v>
      </c>
      <c r="V83" s="47">
        <v>497</v>
      </c>
      <c r="W83" s="47">
        <v>476</v>
      </c>
      <c r="X83" s="47">
        <v>455</v>
      </c>
      <c r="Y83" s="47">
        <v>434</v>
      </c>
      <c r="Z83" s="47">
        <v>414</v>
      </c>
      <c r="AA83" s="47">
        <v>394</v>
      </c>
      <c r="AB83" s="47">
        <v>375</v>
      </c>
      <c r="AC83" s="47">
        <v>358</v>
      </c>
      <c r="AD83" s="47">
        <v>341</v>
      </c>
      <c r="AE83" s="47">
        <v>325</v>
      </c>
      <c r="AF83" s="47">
        <v>310</v>
      </c>
      <c r="AG83" s="47">
        <v>297</v>
      </c>
      <c r="AH83" s="47">
        <v>285</v>
      </c>
      <c r="AI83" s="47">
        <v>276</v>
      </c>
      <c r="AJ83" s="47">
        <v>270</v>
      </c>
      <c r="AK83" s="47">
        <v>265</v>
      </c>
      <c r="AL83" s="45"/>
      <c r="AM83" s="45"/>
      <c r="AN83" s="45"/>
    </row>
    <row r="84" spans="1:40" ht="15" x14ac:dyDescent="0.2">
      <c r="A84" s="64">
        <v>81</v>
      </c>
      <c r="B84" s="47">
        <v>750</v>
      </c>
      <c r="C84" s="47">
        <v>749</v>
      </c>
      <c r="D84" s="47">
        <v>748</v>
      </c>
      <c r="E84" s="47">
        <v>744</v>
      </c>
      <c r="F84" s="47">
        <v>739</v>
      </c>
      <c r="G84" s="47">
        <v>733</v>
      </c>
      <c r="H84" s="47">
        <v>725</v>
      </c>
      <c r="I84" s="47">
        <v>715</v>
      </c>
      <c r="J84" s="47">
        <v>704</v>
      </c>
      <c r="K84" s="47">
        <v>691</v>
      </c>
      <c r="L84" s="47">
        <v>677</v>
      </c>
      <c r="M84" s="47">
        <v>662</v>
      </c>
      <c r="N84" s="47">
        <v>646</v>
      </c>
      <c r="O84" s="47">
        <v>629</v>
      </c>
      <c r="P84" s="47">
        <v>611</v>
      </c>
      <c r="Q84" s="47">
        <v>592</v>
      </c>
      <c r="R84" s="47">
        <v>573</v>
      </c>
      <c r="S84" s="47">
        <v>553</v>
      </c>
      <c r="T84" s="47">
        <v>532</v>
      </c>
      <c r="U84" s="47">
        <v>511</v>
      </c>
      <c r="V84" s="47">
        <v>491</v>
      </c>
      <c r="W84" s="47">
        <v>469</v>
      </c>
      <c r="X84" s="47">
        <v>448</v>
      </c>
      <c r="Y84" s="47">
        <v>428</v>
      </c>
      <c r="Z84" s="47">
        <v>408</v>
      </c>
      <c r="AA84" s="47">
        <v>388</v>
      </c>
      <c r="AB84" s="47">
        <v>370</v>
      </c>
      <c r="AC84" s="47">
        <v>352</v>
      </c>
      <c r="AD84" s="47">
        <v>335</v>
      </c>
      <c r="AE84" s="47">
        <v>319</v>
      </c>
      <c r="AF84" s="47">
        <v>305</v>
      </c>
      <c r="AG84" s="47">
        <v>292</v>
      </c>
      <c r="AH84" s="47">
        <v>281</v>
      </c>
      <c r="AI84" s="47">
        <v>272</v>
      </c>
      <c r="AJ84" s="47">
        <v>265</v>
      </c>
      <c r="AK84" s="47">
        <v>261</v>
      </c>
      <c r="AL84" s="45"/>
      <c r="AM84" s="45"/>
      <c r="AN84" s="45"/>
    </row>
    <row r="85" spans="1:40" ht="15" x14ac:dyDescent="0.2">
      <c r="A85" s="64">
        <v>82</v>
      </c>
      <c r="B85" s="47">
        <v>742</v>
      </c>
      <c r="C85" s="47">
        <v>741</v>
      </c>
      <c r="D85" s="47">
        <v>739</v>
      </c>
      <c r="E85" s="47">
        <v>736</v>
      </c>
      <c r="F85" s="47">
        <v>731</v>
      </c>
      <c r="G85" s="47">
        <v>724</v>
      </c>
      <c r="H85" s="47">
        <v>717</v>
      </c>
      <c r="I85" s="47">
        <v>707</v>
      </c>
      <c r="J85" s="47">
        <v>696</v>
      </c>
      <c r="K85" s="47">
        <v>683</v>
      </c>
      <c r="L85" s="47">
        <v>669</v>
      </c>
      <c r="M85" s="47">
        <v>654</v>
      </c>
      <c r="N85" s="47">
        <v>639</v>
      </c>
      <c r="O85" s="47">
        <v>622</v>
      </c>
      <c r="P85" s="47">
        <v>604</v>
      </c>
      <c r="Q85" s="47">
        <v>585</v>
      </c>
      <c r="R85" s="47">
        <v>565</v>
      </c>
      <c r="S85" s="47">
        <v>546</v>
      </c>
      <c r="T85" s="47">
        <v>526</v>
      </c>
      <c r="U85" s="47">
        <v>505</v>
      </c>
      <c r="V85" s="47">
        <v>484</v>
      </c>
      <c r="W85" s="47">
        <v>463</v>
      </c>
      <c r="X85" s="47">
        <v>442</v>
      </c>
      <c r="Y85" s="47">
        <v>422</v>
      </c>
      <c r="Z85" s="47">
        <v>402</v>
      </c>
      <c r="AA85" s="47">
        <v>383</v>
      </c>
      <c r="AB85" s="47">
        <v>364</v>
      </c>
      <c r="AC85" s="47">
        <v>347</v>
      </c>
      <c r="AD85" s="47">
        <v>330</v>
      </c>
      <c r="AE85" s="47">
        <v>315</v>
      </c>
      <c r="AF85" s="47">
        <v>301</v>
      </c>
      <c r="AG85" s="47">
        <v>288</v>
      </c>
      <c r="AH85" s="47">
        <v>276</v>
      </c>
      <c r="AI85" s="47">
        <v>267</v>
      </c>
      <c r="AJ85" s="47">
        <v>261</v>
      </c>
      <c r="AK85" s="47">
        <v>257</v>
      </c>
      <c r="AL85" s="45"/>
      <c r="AM85" s="45"/>
      <c r="AN85" s="45"/>
    </row>
    <row r="86" spans="1:40" ht="15" x14ac:dyDescent="0.2">
      <c r="A86" s="64">
        <v>83</v>
      </c>
      <c r="B86" s="47">
        <v>733</v>
      </c>
      <c r="C86" s="47">
        <v>732</v>
      </c>
      <c r="D86" s="47">
        <v>730</v>
      </c>
      <c r="E86" s="47">
        <v>727</v>
      </c>
      <c r="F86" s="47">
        <v>722</v>
      </c>
      <c r="G86" s="47">
        <v>716</v>
      </c>
      <c r="H86" s="47">
        <v>708</v>
      </c>
      <c r="I86" s="47">
        <v>699</v>
      </c>
      <c r="J86" s="47">
        <v>688</v>
      </c>
      <c r="K86" s="47">
        <v>675</v>
      </c>
      <c r="L86" s="47">
        <v>662</v>
      </c>
      <c r="M86" s="47">
        <v>647</v>
      </c>
      <c r="N86" s="47">
        <v>631</v>
      </c>
      <c r="O86" s="47">
        <v>614</v>
      </c>
      <c r="P86" s="47">
        <v>596</v>
      </c>
      <c r="Q86" s="47">
        <v>578</v>
      </c>
      <c r="R86" s="47">
        <v>558</v>
      </c>
      <c r="S86" s="47">
        <v>538</v>
      </c>
      <c r="T86" s="47">
        <v>519</v>
      </c>
      <c r="U86" s="47">
        <v>498</v>
      </c>
      <c r="V86" s="47">
        <v>478</v>
      </c>
      <c r="W86" s="47">
        <v>457</v>
      </c>
      <c r="X86" s="47">
        <v>437</v>
      </c>
      <c r="Y86" s="47">
        <v>416</v>
      </c>
      <c r="Z86" s="47">
        <v>396</v>
      </c>
      <c r="AA86" s="47">
        <v>377</v>
      </c>
      <c r="AB86" s="47">
        <v>359</v>
      </c>
      <c r="AC86" s="47">
        <v>341</v>
      </c>
      <c r="AD86" s="47">
        <v>325</v>
      </c>
      <c r="AE86" s="47">
        <v>310</v>
      </c>
      <c r="AF86" s="47">
        <v>296</v>
      </c>
      <c r="AG86" s="47">
        <v>283</v>
      </c>
      <c r="AH86" s="47">
        <v>272</v>
      </c>
      <c r="AI86" s="47">
        <v>263</v>
      </c>
      <c r="AJ86" s="47">
        <v>256</v>
      </c>
      <c r="AK86" s="47">
        <v>252</v>
      </c>
      <c r="AL86" s="45"/>
      <c r="AM86" s="45"/>
      <c r="AN86" s="45"/>
    </row>
    <row r="87" spans="1:40" ht="15" x14ac:dyDescent="0.2">
      <c r="A87" s="64">
        <v>84</v>
      </c>
      <c r="B87" s="47">
        <v>724</v>
      </c>
      <c r="C87" s="47">
        <v>723</v>
      </c>
      <c r="D87" s="47">
        <v>721</v>
      </c>
      <c r="E87" s="47">
        <v>718</v>
      </c>
      <c r="F87" s="47">
        <v>713</v>
      </c>
      <c r="G87" s="47">
        <v>707</v>
      </c>
      <c r="H87" s="47">
        <v>699</v>
      </c>
      <c r="I87" s="47">
        <v>690</v>
      </c>
      <c r="J87" s="47">
        <v>680</v>
      </c>
      <c r="K87" s="47">
        <v>667</v>
      </c>
      <c r="L87" s="47">
        <v>654</v>
      </c>
      <c r="M87" s="47">
        <v>639</v>
      </c>
      <c r="N87" s="47">
        <v>623</v>
      </c>
      <c r="O87" s="47">
        <v>606</v>
      </c>
      <c r="P87" s="47">
        <v>589</v>
      </c>
      <c r="Q87" s="47">
        <v>571</v>
      </c>
      <c r="R87" s="47">
        <v>551</v>
      </c>
      <c r="S87" s="47">
        <v>532</v>
      </c>
      <c r="T87" s="47">
        <v>512</v>
      </c>
      <c r="U87" s="47">
        <v>492</v>
      </c>
      <c r="V87" s="47">
        <v>471</v>
      </c>
      <c r="W87" s="47">
        <v>450</v>
      </c>
      <c r="X87" s="47">
        <v>430</v>
      </c>
      <c r="Y87" s="47">
        <v>410</v>
      </c>
      <c r="Z87" s="47">
        <v>391</v>
      </c>
      <c r="AA87" s="47">
        <v>372</v>
      </c>
      <c r="AB87" s="47">
        <v>353</v>
      </c>
      <c r="AC87" s="47">
        <v>336</v>
      </c>
      <c r="AD87" s="47">
        <v>320</v>
      </c>
      <c r="AE87" s="47">
        <v>305</v>
      </c>
      <c r="AF87" s="47">
        <v>290</v>
      </c>
      <c r="AG87" s="47">
        <v>278</v>
      </c>
      <c r="AH87" s="47">
        <v>267</v>
      </c>
      <c r="AI87" s="47">
        <v>259</v>
      </c>
      <c r="AJ87" s="47">
        <v>252</v>
      </c>
      <c r="AK87" s="47">
        <v>248</v>
      </c>
      <c r="AL87" s="45"/>
      <c r="AM87" s="45"/>
      <c r="AN87" s="45"/>
    </row>
    <row r="88" spans="1:40" ht="15" x14ac:dyDescent="0.2">
      <c r="A88" s="64">
        <v>85</v>
      </c>
      <c r="B88" s="47">
        <v>715</v>
      </c>
      <c r="C88" s="47">
        <v>714</v>
      </c>
      <c r="D88" s="47">
        <v>712</v>
      </c>
      <c r="E88" s="47">
        <v>709</v>
      </c>
      <c r="F88" s="47">
        <v>704</v>
      </c>
      <c r="G88" s="47">
        <v>698</v>
      </c>
      <c r="H88" s="47">
        <v>691</v>
      </c>
      <c r="I88" s="47">
        <v>682</v>
      </c>
      <c r="J88" s="47">
        <v>671</v>
      </c>
      <c r="K88" s="47">
        <v>659</v>
      </c>
      <c r="L88" s="47">
        <v>645</v>
      </c>
      <c r="M88" s="47">
        <v>631</v>
      </c>
      <c r="N88" s="47">
        <v>615</v>
      </c>
      <c r="O88" s="47">
        <v>599</v>
      </c>
      <c r="P88" s="47">
        <v>581</v>
      </c>
      <c r="Q88" s="47">
        <v>563</v>
      </c>
      <c r="R88" s="47">
        <v>545</v>
      </c>
      <c r="S88" s="47">
        <v>525</v>
      </c>
      <c r="T88" s="47">
        <v>505</v>
      </c>
      <c r="U88" s="47">
        <v>485</v>
      </c>
      <c r="V88" s="47">
        <v>465</v>
      </c>
      <c r="W88" s="47">
        <v>444</v>
      </c>
      <c r="X88" s="47">
        <v>424</v>
      </c>
      <c r="Y88" s="47">
        <v>404</v>
      </c>
      <c r="Z88" s="47">
        <v>385</v>
      </c>
      <c r="AA88" s="47">
        <v>366</v>
      </c>
      <c r="AB88" s="47">
        <v>348</v>
      </c>
      <c r="AC88" s="47">
        <v>331</v>
      </c>
      <c r="AD88" s="47">
        <v>315</v>
      </c>
      <c r="AE88" s="47">
        <v>300</v>
      </c>
      <c r="AF88" s="47">
        <v>286</v>
      </c>
      <c r="AG88" s="47">
        <v>274</v>
      </c>
      <c r="AH88" s="47">
        <v>263</v>
      </c>
      <c r="AI88" s="47">
        <v>254</v>
      </c>
      <c r="AJ88" s="47">
        <v>248</v>
      </c>
      <c r="AK88" s="47">
        <v>244</v>
      </c>
      <c r="AL88" s="45"/>
      <c r="AM88" s="45"/>
      <c r="AN88" s="45"/>
    </row>
    <row r="89" spans="1:40" ht="15" x14ac:dyDescent="0.2">
      <c r="A89" s="64">
        <v>86</v>
      </c>
      <c r="B89" s="47">
        <v>706</v>
      </c>
      <c r="C89" s="47">
        <v>705</v>
      </c>
      <c r="D89" s="47">
        <v>703</v>
      </c>
      <c r="E89" s="47">
        <v>700</v>
      </c>
      <c r="F89" s="47">
        <v>695</v>
      </c>
      <c r="G89" s="47">
        <v>690</v>
      </c>
      <c r="H89" s="47">
        <v>682</v>
      </c>
      <c r="I89" s="47">
        <v>673</v>
      </c>
      <c r="J89" s="47">
        <v>662</v>
      </c>
      <c r="K89" s="47">
        <v>651</v>
      </c>
      <c r="L89" s="47">
        <v>637</v>
      </c>
      <c r="M89" s="47">
        <v>623</v>
      </c>
      <c r="N89" s="47">
        <v>607</v>
      </c>
      <c r="O89" s="47">
        <v>591</v>
      </c>
      <c r="P89" s="47">
        <v>574</v>
      </c>
      <c r="Q89" s="47">
        <v>556</v>
      </c>
      <c r="R89" s="47">
        <v>537</v>
      </c>
      <c r="S89" s="47">
        <v>518</v>
      </c>
      <c r="T89" s="47">
        <v>498</v>
      </c>
      <c r="U89" s="47">
        <v>478</v>
      </c>
      <c r="V89" s="47">
        <v>458</v>
      </c>
      <c r="W89" s="47">
        <v>438</v>
      </c>
      <c r="X89" s="47">
        <v>418</v>
      </c>
      <c r="Y89" s="47">
        <v>398</v>
      </c>
      <c r="Z89" s="47">
        <v>379</v>
      </c>
      <c r="AA89" s="47">
        <v>360</v>
      </c>
      <c r="AB89" s="47">
        <v>342</v>
      </c>
      <c r="AC89" s="47">
        <v>326</v>
      </c>
      <c r="AD89" s="47">
        <v>310</v>
      </c>
      <c r="AE89" s="47">
        <v>295</v>
      </c>
      <c r="AF89" s="47">
        <v>281</v>
      </c>
      <c r="AG89" s="47">
        <v>269</v>
      </c>
      <c r="AH89" s="47">
        <v>258</v>
      </c>
      <c r="AI89" s="47">
        <v>250</v>
      </c>
      <c r="AJ89" s="47">
        <v>244</v>
      </c>
      <c r="AK89" s="47">
        <v>240</v>
      </c>
      <c r="AL89" s="45"/>
      <c r="AM89" s="45"/>
      <c r="AN89" s="45"/>
    </row>
    <row r="90" spans="1:40" ht="15" x14ac:dyDescent="0.2">
      <c r="A90" s="64">
        <v>87</v>
      </c>
      <c r="B90" s="47">
        <v>696</v>
      </c>
      <c r="C90" s="47">
        <v>696</v>
      </c>
      <c r="D90" s="47">
        <v>694</v>
      </c>
      <c r="E90" s="47">
        <v>690</v>
      </c>
      <c r="F90" s="47">
        <v>686</v>
      </c>
      <c r="G90" s="47">
        <v>680</v>
      </c>
      <c r="H90" s="47">
        <v>673</v>
      </c>
      <c r="I90" s="47">
        <v>664</v>
      </c>
      <c r="J90" s="47">
        <v>654</v>
      </c>
      <c r="K90" s="47">
        <v>642</v>
      </c>
      <c r="L90" s="47">
        <v>629</v>
      </c>
      <c r="M90" s="47">
        <v>615</v>
      </c>
      <c r="N90" s="47">
        <v>599</v>
      </c>
      <c r="O90" s="47">
        <v>583</v>
      </c>
      <c r="P90" s="47">
        <v>566</v>
      </c>
      <c r="Q90" s="47">
        <v>548</v>
      </c>
      <c r="R90" s="47">
        <v>530</v>
      </c>
      <c r="S90" s="47">
        <v>511</v>
      </c>
      <c r="T90" s="47">
        <v>491</v>
      </c>
      <c r="U90" s="47">
        <v>471</v>
      </c>
      <c r="V90" s="47">
        <v>451</v>
      </c>
      <c r="W90" s="47">
        <v>431</v>
      </c>
      <c r="X90" s="47">
        <v>412</v>
      </c>
      <c r="Y90" s="47">
        <v>392</v>
      </c>
      <c r="Z90" s="47">
        <v>373</v>
      </c>
      <c r="AA90" s="47">
        <v>355</v>
      </c>
      <c r="AB90" s="47">
        <v>337</v>
      </c>
      <c r="AC90" s="47">
        <v>320</v>
      </c>
      <c r="AD90" s="47">
        <v>304</v>
      </c>
      <c r="AE90" s="47">
        <v>290</v>
      </c>
      <c r="AF90" s="47">
        <v>277</v>
      </c>
      <c r="AG90" s="47">
        <v>264</v>
      </c>
      <c r="AH90" s="47">
        <v>254</v>
      </c>
      <c r="AI90" s="47">
        <v>246</v>
      </c>
      <c r="AJ90" s="47">
        <v>240</v>
      </c>
      <c r="AK90" s="47">
        <v>235</v>
      </c>
      <c r="AL90" s="45"/>
      <c r="AM90" s="45"/>
      <c r="AN90" s="45"/>
    </row>
    <row r="91" spans="1:40" ht="15" x14ac:dyDescent="0.2">
      <c r="A91" s="64">
        <v>88</v>
      </c>
      <c r="B91" s="47">
        <v>686</v>
      </c>
      <c r="C91" s="47">
        <v>686</v>
      </c>
      <c r="D91" s="47">
        <v>684</v>
      </c>
      <c r="E91" s="47">
        <v>681</v>
      </c>
      <c r="F91" s="47">
        <v>677</v>
      </c>
      <c r="G91" s="47">
        <v>671</v>
      </c>
      <c r="H91" s="47">
        <v>664</v>
      </c>
      <c r="I91" s="47">
        <v>655</v>
      </c>
      <c r="J91" s="47">
        <v>645</v>
      </c>
      <c r="K91" s="47">
        <v>633</v>
      </c>
      <c r="L91" s="47">
        <v>620</v>
      </c>
      <c r="M91" s="47">
        <v>606</v>
      </c>
      <c r="N91" s="47">
        <v>591</v>
      </c>
      <c r="O91" s="47">
        <v>575</v>
      </c>
      <c r="P91" s="47">
        <v>559</v>
      </c>
      <c r="Q91" s="47">
        <v>541</v>
      </c>
      <c r="R91" s="47">
        <v>522</v>
      </c>
      <c r="S91" s="47">
        <v>503</v>
      </c>
      <c r="T91" s="47">
        <v>484</v>
      </c>
      <c r="U91" s="47">
        <v>465</v>
      </c>
      <c r="V91" s="47">
        <v>445</v>
      </c>
      <c r="W91" s="47">
        <v>425</v>
      </c>
      <c r="X91" s="47">
        <v>405</v>
      </c>
      <c r="Y91" s="47">
        <v>386</v>
      </c>
      <c r="Z91" s="47">
        <v>368</v>
      </c>
      <c r="AA91" s="47">
        <v>349</v>
      </c>
      <c r="AB91" s="47">
        <v>332</v>
      </c>
      <c r="AC91" s="47">
        <v>315</v>
      </c>
      <c r="AD91" s="47">
        <v>299</v>
      </c>
      <c r="AE91" s="47">
        <v>285</v>
      </c>
      <c r="AF91" s="47">
        <v>272</v>
      </c>
      <c r="AG91" s="47">
        <v>260</v>
      </c>
      <c r="AH91" s="47">
        <v>250</v>
      </c>
      <c r="AI91" s="47">
        <v>241</v>
      </c>
      <c r="AJ91" s="47">
        <v>235</v>
      </c>
      <c r="AK91" s="47">
        <v>232</v>
      </c>
      <c r="AL91" s="45"/>
      <c r="AM91" s="45"/>
      <c r="AN91" s="45"/>
    </row>
    <row r="92" spans="1:40" ht="15" x14ac:dyDescent="0.2">
      <c r="A92" s="64">
        <v>89</v>
      </c>
      <c r="B92" s="47">
        <v>677</v>
      </c>
      <c r="C92" s="47">
        <v>676</v>
      </c>
      <c r="D92" s="47">
        <v>674</v>
      </c>
      <c r="E92" s="47">
        <v>671</v>
      </c>
      <c r="F92" s="47">
        <v>667</v>
      </c>
      <c r="G92" s="47">
        <v>662</v>
      </c>
      <c r="H92" s="47">
        <v>655</v>
      </c>
      <c r="I92" s="47">
        <v>646</v>
      </c>
      <c r="J92" s="47">
        <v>636</v>
      </c>
      <c r="K92" s="47">
        <v>625</v>
      </c>
      <c r="L92" s="47">
        <v>612</v>
      </c>
      <c r="M92" s="47">
        <v>598</v>
      </c>
      <c r="N92" s="47">
        <v>583</v>
      </c>
      <c r="O92" s="47">
        <v>567</v>
      </c>
      <c r="P92" s="47">
        <v>550</v>
      </c>
      <c r="Q92" s="47">
        <v>533</v>
      </c>
      <c r="R92" s="47">
        <v>515</v>
      </c>
      <c r="S92" s="47">
        <v>496</v>
      </c>
      <c r="T92" s="47">
        <v>477</v>
      </c>
      <c r="U92" s="47">
        <v>458</v>
      </c>
      <c r="V92" s="47">
        <v>438</v>
      </c>
      <c r="W92" s="47">
        <v>419</v>
      </c>
      <c r="X92" s="47">
        <v>399</v>
      </c>
      <c r="Y92" s="47">
        <v>380</v>
      </c>
      <c r="Z92" s="47">
        <v>361</v>
      </c>
      <c r="AA92" s="47">
        <v>343</v>
      </c>
      <c r="AB92" s="47">
        <v>326</v>
      </c>
      <c r="AC92" s="47">
        <v>310</v>
      </c>
      <c r="AD92" s="47">
        <v>294</v>
      </c>
      <c r="AE92" s="47">
        <v>280</v>
      </c>
      <c r="AF92" s="47">
        <v>267</v>
      </c>
      <c r="AG92" s="47">
        <v>255</v>
      </c>
      <c r="AH92" s="47">
        <v>245</v>
      </c>
      <c r="AI92" s="47">
        <v>237</v>
      </c>
      <c r="AJ92" s="47">
        <v>231</v>
      </c>
      <c r="AK92" s="47">
        <v>227</v>
      </c>
      <c r="AL92" s="45"/>
      <c r="AM92" s="45"/>
      <c r="AN92" s="45"/>
    </row>
    <row r="93" spans="1:40" ht="15" x14ac:dyDescent="0.2">
      <c r="A93" s="64">
        <v>90</v>
      </c>
      <c r="B93" s="47">
        <v>667</v>
      </c>
      <c r="C93" s="47">
        <v>666</v>
      </c>
      <c r="D93" s="47">
        <v>665</v>
      </c>
      <c r="E93" s="47">
        <v>662</v>
      </c>
      <c r="F93" s="47">
        <v>658</v>
      </c>
      <c r="G93" s="47">
        <v>652</v>
      </c>
      <c r="H93" s="47">
        <v>645</v>
      </c>
      <c r="I93" s="47">
        <v>637</v>
      </c>
      <c r="J93" s="47">
        <v>627</v>
      </c>
      <c r="K93" s="47">
        <v>616</v>
      </c>
      <c r="L93" s="47">
        <v>603</v>
      </c>
      <c r="M93" s="47">
        <v>590</v>
      </c>
      <c r="N93" s="47">
        <v>575</v>
      </c>
      <c r="O93" s="47">
        <v>559</v>
      </c>
      <c r="P93" s="47">
        <v>543</v>
      </c>
      <c r="Q93" s="47">
        <v>525</v>
      </c>
      <c r="R93" s="47">
        <v>507</v>
      </c>
      <c r="S93" s="47">
        <v>489</v>
      </c>
      <c r="T93" s="47">
        <v>470</v>
      </c>
      <c r="U93" s="47">
        <v>451</v>
      </c>
      <c r="V93" s="47">
        <v>432</v>
      </c>
      <c r="W93" s="47">
        <v>412</v>
      </c>
      <c r="X93" s="47">
        <v>393</v>
      </c>
      <c r="Y93" s="47">
        <v>374</v>
      </c>
      <c r="Z93" s="47">
        <v>356</v>
      </c>
      <c r="AA93" s="47">
        <v>338</v>
      </c>
      <c r="AB93" s="47">
        <v>321</v>
      </c>
      <c r="AC93" s="47">
        <v>305</v>
      </c>
      <c r="AD93" s="47">
        <v>290</v>
      </c>
      <c r="AE93" s="47">
        <v>275</v>
      </c>
      <c r="AF93" s="47">
        <v>262</v>
      </c>
      <c r="AG93" s="47">
        <v>251</v>
      </c>
      <c r="AH93" s="47">
        <v>241</v>
      </c>
      <c r="AI93" s="47">
        <v>233</v>
      </c>
      <c r="AJ93" s="47">
        <v>227</v>
      </c>
      <c r="AK93" s="47">
        <v>223</v>
      </c>
      <c r="AL93" s="45"/>
      <c r="AM93" s="45"/>
      <c r="AN93" s="45"/>
    </row>
    <row r="94" spans="1:40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</row>
  </sheetData>
  <sheetProtection selectLockedCells="1" selectUnlockedCells="1"/>
  <mergeCells count="1">
    <mergeCell ref="A1:AK1"/>
  </mergeCells>
  <pageMargins left="0.78749999999999998" right="0.78749999999999998" top="0.92638888888888893" bottom="0.92638888888888893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Client Input</vt:lpstr>
      <vt:lpstr>Inputs</vt:lpstr>
      <vt:lpstr>Electricity_consumption</vt:lpstr>
      <vt:lpstr>PV_design</vt:lpstr>
      <vt:lpstr>Heating_Design</vt:lpstr>
      <vt:lpstr>Assumptions</vt:lpstr>
      <vt:lpstr>Blank_Sunpath_diagram</vt:lpstr>
      <vt:lpstr>Look_Up_Tables_-_PV</vt:lpstr>
      <vt:lpstr>Look_Up_Tables_-_Heating</vt:lpstr>
      <vt:lpstr>PV_irradiance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chandler</dc:creator>
  <cp:keywords/>
  <dc:description/>
  <cp:lastModifiedBy>Rupert Allen</cp:lastModifiedBy>
  <cp:revision/>
  <dcterms:created xsi:type="dcterms:W3CDTF">2020-07-28T15:25:47Z</dcterms:created>
  <dcterms:modified xsi:type="dcterms:W3CDTF">2021-03-03T10:34:54Z</dcterms:modified>
  <cp:category/>
  <cp:contentStatus/>
</cp:coreProperties>
</file>